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drawings/vmlDrawing7.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comments9.xml" ContentType="application/vnd.openxmlformats-officedocument.spreadsheetml.comment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venue Model" sheetId="1" state="visible" r:id="rId3"/>
    <sheet name="Income Statement" sheetId="2" state="visible" r:id="rId4"/>
    <sheet name="Cash Flow Statement" sheetId="3" state="visible" r:id="rId5"/>
    <sheet name="Balance Sheet" sheetId="4" state="visible" r:id="rId6"/>
    <sheet name="DCF Inputs" sheetId="5" state="visible" r:id="rId7"/>
    <sheet name="Scenarios" sheetId="6" state="visible" r:id="rId8"/>
    <sheet name="DCF" sheetId="7" state="visible" r:id="rId9"/>
    <sheet name="Sensitivity" sheetId="8" state="visible" r:id="rId10"/>
    <sheet name="Comps" sheetId="9" state="visible" r:id="rId11"/>
    <sheet name="Precedent Transactions" sheetId="10" state="visible" r:id="rId12"/>
    <sheet name="Valuation Summary" sheetId="11" state="visible" r:id="rId13"/>
    <sheet name="Notes &amp; Sources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FY2024A $117.5m; FY2025A $529.8m (+351%). Restated for Toloka discontinued operations. Source: Nebius FY2025 20-F / results.</t>
        </r>
      </text>
    </comment>
    <comment ref="C10" authorId="0">
      <text>
        <r>
          <rPr>
            <sz val="10"/>
            <rFont val="Arial"/>
            <family val="2"/>
          </rPr>
          <t xml:space="preserve">Core AI cloud was ~94% of group revenue in Q4 2025 and rising. Non-core = TripleTen + Avride (Toloka deconsolidated Q2 2025).</t>
        </r>
      </text>
    </comment>
    <comment ref="C16" authorId="0">
      <text>
        <r>
          <rPr>
            <sz val="10"/>
            <rFont val="Arial"/>
            <family val="2"/>
          </rPr>
          <t xml:space="preserve">Exit-2025 ARR $1.25bn (beat $0.9–1.1bn guide). 2026E $7–9bn guidance (midpoint $8bn). Beyond: base-case ramp. ARR = last month AI-cloud revenue × 12.</t>
        </r>
      </text>
    </comment>
    <comment ref="C18" authorId="0">
      <text>
        <r>
          <rPr>
            <sz val="10"/>
            <rFont val="Arial"/>
            <family val="2"/>
          </rPr>
          <t xml:space="preserve">170MW active YE2025; 800MW–1GW connected target YE2026; &gt;4GW contracted; ~5GW ambition by 2030 (NVIDIA JV).</t>
        </r>
      </text>
    </comment>
    <comment ref="D6" authorId="0">
      <text>
        <r>
          <rPr>
            <sz val="10"/>
            <rFont val="Arial"/>
            <family val="2"/>
          </rPr>
          <t xml:space="preserve">2026E = FY2026 guidance midpoint ($3.0–3.4bn). 2027E–2030E: base-case ramp tied to exit-2026 ARR of ~$8bn and &gt;4GW contracted power scaling toward ~5GW by 2030 (NVIDIA JV). Source: Nebius Q1 2026 results &amp; guidance.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0" authorId="0">
      <text>
        <r>
          <rPr>
            <sz val="10"/>
            <rFont val="Arial"/>
            <family val="2"/>
          </rPr>
          <t xml:space="preserve">FY2025 gross margin 68.6% (excludes D&amp;A, which Nebius presents separately). Source: FY2025 filings.</t>
        </r>
      </text>
    </comment>
    <comment ref="C27" authorId="0">
      <text>
        <r>
          <rPr>
            <sz val="10"/>
            <rFont val="Arial"/>
            <family val="2"/>
          </rPr>
          <t xml:space="preserve">FY2024 D&amp;A $77.1m (65.6% of rev); FY2025 $417.9m (78.9%). Projected as % of revenue, calibrated to placed-in-service asset base (construction-in-progress not yet depreciated). Declines as revenue scales into the fleet. Sector: D&amp;A ~half of revenue.</t>
        </r>
      </text>
    </comment>
    <comment ref="C29" authorId="0">
      <text>
        <r>
          <rPr>
            <sz val="10"/>
            <rFont val="Arial"/>
            <family val="2"/>
          </rPr>
          <t xml:space="preserve">FY2024 SBC $54.5m; FY2025 $83.2m. Source: FY2025 20-F.</t>
        </r>
      </text>
    </comment>
    <comment ref="C37" authorId="0">
      <text>
        <r>
          <rPr>
            <sz val="10"/>
            <rFont val="Arial"/>
            <family val="2"/>
          </rPr>
          <t xml:space="preserve">FY2025 GAAP net income was positive (~$82.5m) despite an operating loss, driven by large non-cash gains on equity stakes (esp. ClickHouse). Modeled at $0 in projections (conservative); lumpy upside possible. Source: FY2025 results.</t>
        </r>
      </text>
    </comment>
    <comment ref="C45" authorId="0">
      <text>
        <r>
          <rPr>
            <sz val="10"/>
            <rFont val="Arial"/>
            <family val="2"/>
          </rPr>
          <t xml:space="preserve">FY2025 ~253m diluted shares (+7.3% YoY). Projected dilution from RSUs, converts and acquisition stock. Source: FY2025 filings.</t>
        </r>
      </text>
    </comment>
    <comment ref="D24" authorId="0">
      <text>
        <r>
          <rPr>
            <sz val="10"/>
            <rFont val="Arial"/>
            <family val="2"/>
          </rPr>
          <t xml:space="preserve">Calibrated to management ~40% FY2026 group adj. EBITDA margin guidance, scaling toward ~50% by 2030 on operating leverage.</t>
        </r>
      </text>
    </comment>
    <comment ref="D39" authorId="0">
      <text>
        <r>
          <rPr>
            <sz val="10"/>
            <rFont val="Arial"/>
            <family val="2"/>
          </rPr>
          <t xml:space="preserve">Netherlands statutory ~25.8%; effective modeled at 15% reflecting NOL carryforwards from prior losses. Tax = 0 when pre-tax income is negative.</t>
        </r>
      </text>
    </comment>
    <comment ref="J2" authorId="0">
      <text>
        <r>
          <rPr>
            <sz val="10"/>
            <rFont val="Arial"/>
            <family val="2"/>
          </rPr>
          <t xml:space="preserve">Interest income on opening cash; interest expense on opening debt — opening balances used to avoid circularity.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0" authorId="0">
      <text>
        <r>
          <rPr>
            <sz val="10"/>
            <rFont val="Arial"/>
            <family val="2"/>
          </rPr>
          <t xml:space="preserve">Back-solved so FY2024 ending cash ties to the reported ~$2.4bn (FY2024 included ~$2.6bn Yandex divestment proceeds + $0.7bn equity, not modeled line-by-line). FY2025 ending cash computes to ~$3.8bn, in line with reported $3.7bn.</t>
        </r>
      </text>
    </comment>
    <comment ref="C25" authorId="0">
      <text>
        <r>
          <rPr>
            <sz val="10"/>
            <rFont val="Arial"/>
            <family val="2"/>
          </rPr>
          <t xml:space="preserve">FY2025: $4.3bn convertible senior notes. Projected: asset-backed + convertible debt to fund the build (&gt;100% of some deployments financed by customer prepayments + facilities). Sized to fund capex gap.</t>
        </r>
      </text>
    </comment>
    <comment ref="D16" authorId="0">
      <text>
        <r>
          <rPr>
            <sz val="10"/>
            <rFont val="Arial"/>
            <family val="2"/>
          </rPr>
          <t xml:space="preserve">FY2026 capex guidance raised to $20–25bn (midpoint $22.5bn), then moderating as build matures. FY2024 ~$0.8bn; FY2025 ~$4.0bn (est.; Q4 alone $2.06bn). Source: Nebius Q1 2026 results.</t>
        </r>
      </text>
    </comment>
    <comment ref="D17" authorId="0">
      <text>
        <r>
          <rPr>
            <sz val="10"/>
            <rFont val="Arial"/>
            <family val="2"/>
          </rPr>
          <t xml:space="preserve">Tavily (~$275m), Eigen AI (~$643m), Clarifai, others in 2026. Source: Nebius newsroom.</t>
        </r>
      </text>
    </comment>
    <comment ref="D26" authorId="0">
      <text>
        <r>
          <rPr>
            <sz val="10"/>
            <rFont val="Arial"/>
            <family val="2"/>
          </rPr>
          <t xml:space="preserve">FY2026 includes $2.0bn NVIDIA equity investment (~9.3% stake). Prior $0.7bn placements. Modest ongoing issuance thereafter.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1" authorId="0">
      <text>
        <r>
          <rPr>
            <sz val="10"/>
            <rFont val="Arial"/>
            <family val="2"/>
          </rPr>
          <t xml:space="preserve">YE2024 net PP&amp;E estimated ~$4.1bn (data-center &amp; GPU build). Rolls forward = prior + capex − D&amp;A.</t>
        </r>
      </text>
    </comment>
    <comment ref="B12" authorId="0">
      <text>
        <r>
          <rPr>
            <sz val="10"/>
            <rFont val="Arial"/>
            <family val="2"/>
          </rPr>
          <t xml:space="preserve">Stakes in ClickHouse, Toloka (equity method) and venture funds. YE2024 est. ~$1.4bn; grows with additions and revaluation. Source: FY2025 filings.</t>
        </r>
      </text>
    </comment>
    <comment ref="B27" authorId="0">
      <text>
        <r>
          <rPr>
            <sz val="10"/>
            <rFont val="Arial"/>
            <family val="2"/>
          </rPr>
          <t xml:space="preserve">FY2024A opening paid-in capital set as the balancing item so the opening balance sheet ties exactly (post-Yandex-divestiture capital base). Rolls forward = prior + equity issued + SBC.</t>
        </r>
      </text>
    </comment>
    <comment ref="B28" authorId="0">
      <text>
        <r>
          <rPr>
            <sz val="10"/>
            <rFont val="Arial"/>
            <family val="2"/>
          </rPr>
          <t xml:space="preserve">Accumulated deficit base (est.). Rolls forward = prior + net income.</t>
        </r>
      </text>
    </comment>
    <comment ref="C22" authorId="0">
      <text>
        <r>
          <rPr>
            <sz val="10"/>
            <rFont val="Arial"/>
            <family val="2"/>
          </rPr>
          <t xml:space="preserve">YE2025 ~$4.1bn (convertible senior notes). Rises with asset-backed &amp; convertible financing of the build-out.</t>
        </r>
      </text>
    </comment>
    <comment ref="D20" authorId="0">
      <text>
        <r>
          <rPr>
            <sz val="10"/>
            <rFont val="Arial"/>
            <family val="2"/>
          </rPr>
          <t xml:space="preserve">Large customer prepayments (Microsoft, Meta) fund the build — a key source of operating cash. Grows as mega-contracts are signed/prepaid, then plateaus as capacity is delivered/recognized. Q1 2026 operating cash flow $2.3bn was driven by prepayments.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Base ties to model: $529.8m×(1.09)^5 ≈ $21.0bn 2030E revenue. Bull = faster capacity monetization / stronger pricing; Bear = Meta/Microsoft delays, slower ramp, hyperscaler self-build ("Meta Compute").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NBIS close $198.25 on Jul 27, 2026 (Robinhood). Market cap ~$58.75bn.</t>
        </r>
      </text>
    </comment>
    <comment ref="C6" authorId="0">
      <text>
        <r>
          <rPr>
            <sz val="10"/>
            <rFont val="Arial"/>
            <family val="2"/>
          </rPr>
          <t xml:space="preserve">~296m fully-diluted shares (ties to market cap at current price; includes convertible dilution). Basic shares ~256m per Q1 2026.</t>
        </r>
      </text>
    </comment>
    <comment ref="C7" authorId="0">
      <text>
        <r>
          <rPr>
            <sz val="10"/>
            <rFont val="Arial"/>
            <family val="2"/>
          </rPr>
          <t xml:space="preserve">Q1 2026 cash/liquidity ~$9.3bn vs debt ~$5–8bn → roughly net-cash-neutral to modest net cash; $2bn used as a conservative net-cash figure.</t>
        </r>
      </text>
    </comment>
    <comment ref="C8" authorId="0">
      <text>
        <r>
          <rPr>
            <sz val="10"/>
            <rFont val="Arial"/>
            <family val="2"/>
          </rPr>
          <t xml:space="preserve">From model WACC build (CAPM cost of equity 13.1%, after-tax cost of debt 4.7%, 80/20). High-growth AI-infrastructure range 10–14%.</t>
        </r>
      </text>
    </comment>
    <comment ref="C9" authorId="0">
      <text>
        <r>
          <rPr>
            <sz val="10"/>
            <rFont val="Arial"/>
            <family val="2"/>
          </rPr>
          <t xml:space="preserve">Terminal EV/EBITDA applied to 2030E adj. EBITDA. 15x is below CoreWeave’s current ~18x, reflecting a more mature, slower-growth 2030 business.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3" authorId="0">
      <text>
        <r>
          <rPr>
            <sz val="10"/>
            <rFont val="Arial"/>
            <family val="2"/>
          </rPr>
          <t xml:space="preserve">NBIS grows ~5x faster than the peer median and has a cleaner balance sheet / asset-light pivot, warranting a premium to peers. ~1.9x lifts the peer median toward NBIS’s own current trading multiple.</t>
        </r>
      </text>
    </comment>
  </commentList>
</comments>
</file>

<file path=xl/sharedStrings.xml><?xml version="1.0" encoding="utf-8"?>
<sst xmlns="http://schemas.openxmlformats.org/spreadsheetml/2006/main" count="380" uniqueCount="312">
  <si>
    <t xml:space="preserve">Nebius Group N.V. (NASDAQ: NBIS)</t>
  </si>
  <si>
    <t xml:space="preserve">Financial Model — Task 2 · Revenue Build (2 historical + 5 projected years)</t>
  </si>
  <si>
    <t xml:space="preserve">($ in millions unless noted)</t>
  </si>
  <si>
    <t xml:space="preserve">2024A</t>
  </si>
  <si>
    <t xml:space="preserve">2025A</t>
  </si>
  <si>
    <t xml:space="preserve">2026E</t>
  </si>
  <si>
    <t xml:space="preserve">2027E</t>
  </si>
  <si>
    <t xml:space="preserve">2028E</t>
  </si>
  <si>
    <t xml:space="preserve">2029E</t>
  </si>
  <si>
    <t xml:space="preserve">2030E</t>
  </si>
  <si>
    <t xml:space="preserve">GROUP REVENUE DRIVERS  (blue = input / assumption)</t>
  </si>
  <si>
    <t xml:space="preserve">Total group revenue</t>
  </si>
  <si>
    <t xml:space="preserve">  YoY growth %</t>
  </si>
  <si>
    <t xml:space="preserve">SEGMENT SPLIT</t>
  </si>
  <si>
    <t xml:space="preserve">Core AI cloud mix (% of group)</t>
  </si>
  <si>
    <t xml:space="preserve">Core AI cloud revenue</t>
  </si>
  <si>
    <t xml:space="preserve">Non-core revenue (TripleTen, Avride)</t>
  </si>
  <si>
    <t xml:space="preserve">  Core revenue YoY %</t>
  </si>
  <si>
    <t xml:space="preserve">ANNUALIZED RUN-RATE REVENUE (ARR) — reference</t>
  </si>
  <si>
    <t xml:space="preserve">Core AI cloud exit ARR</t>
  </si>
  <si>
    <t xml:space="preserve">  Implied revenue-to-exit-ARR ratio</t>
  </si>
  <si>
    <t xml:space="preserve">Contracted power (GW, exit)</t>
  </si>
  <si>
    <t xml:space="preserve">REVENUE BY GEOGRAPHY  (estimated mix — company does not disclose clean geo split)</t>
  </si>
  <si>
    <t xml:space="preserve">Europe %</t>
  </si>
  <si>
    <t xml:space="preserve">North America %</t>
  </si>
  <si>
    <t xml:space="preserve">Middle East &amp; RoW %</t>
  </si>
  <si>
    <t xml:space="preserve">  Europe revenue</t>
  </si>
  <si>
    <t xml:space="preserve">  North America revenue</t>
  </si>
  <si>
    <t xml:space="preserve">  Middle East &amp; RoW revenue</t>
  </si>
  <si>
    <t xml:space="preserve">Check: geo sum = total</t>
  </si>
  <si>
    <t xml:space="preserve">Rate assumptions (input)</t>
  </si>
  <si>
    <t xml:space="preserve">Financial Model — Task 2 · Consolidated Income Statement (P&amp;L)</t>
  </si>
  <si>
    <t xml:space="preserve">Interest income yield on cash</t>
  </si>
  <si>
    <t xml:space="preserve">Blended interest rate on debt</t>
  </si>
  <si>
    <t xml:space="preserve">REVENUE</t>
  </si>
  <si>
    <t xml:space="preserve">Total revenue</t>
  </si>
  <si>
    <t xml:space="preserve">COST OF REVENUE &amp; GROSS PROFIT  (COGS excludes D&amp;A, shown separately)</t>
  </si>
  <si>
    <t xml:space="preserve">Gross margin % (input)</t>
  </si>
  <si>
    <t xml:space="preserve">Cost of revenue (excl. D&amp;A)</t>
  </si>
  <si>
    <t xml:space="preserve">Gross profit</t>
  </si>
  <si>
    <t xml:space="preserve">  Gross margin %</t>
  </si>
  <si>
    <t xml:space="preserve">OPERATING EXPENSES (excl. D&amp;A and SBC)</t>
  </si>
  <si>
    <t xml:space="preserve">Product development (R&amp;D) % of rev</t>
  </si>
  <si>
    <t xml:space="preserve">  Product development (R&amp;D)</t>
  </si>
  <si>
    <t xml:space="preserve">Sales, G&amp;A % of rev</t>
  </si>
  <si>
    <t xml:space="preserve">  Sales, general &amp; administrative</t>
  </si>
  <si>
    <t xml:space="preserve">Total operating expenses (ex-D&amp;A, ex-SBC)</t>
  </si>
  <si>
    <t xml:space="preserve">ADJUSTED EBITDA</t>
  </si>
  <si>
    <t xml:space="preserve">Adjusted EBITDA</t>
  </si>
  <si>
    <t xml:space="preserve">  Adjusted EBITDA margin %</t>
  </si>
  <si>
    <t xml:space="preserve">D&amp;A, SBC &amp; OPERATING INCOME</t>
  </si>
  <si>
    <t xml:space="preserve">D&amp;A as % of revenue (input)</t>
  </si>
  <si>
    <t xml:space="preserve">Depreciation &amp; amortization</t>
  </si>
  <si>
    <t xml:space="preserve">Share-based compensation % of rev</t>
  </si>
  <si>
    <t xml:space="preserve">Share-based compensation</t>
  </si>
  <si>
    <t xml:space="preserve">Operating income (EBIT)</t>
  </si>
  <si>
    <t xml:space="preserve">  EBIT margin %</t>
  </si>
  <si>
    <t xml:space="preserve">NON-OPERATING ITEMS</t>
  </si>
  <si>
    <t xml:space="preserve">Interest income</t>
  </si>
  <si>
    <t xml:space="preserve">Interest expense</t>
  </si>
  <si>
    <t xml:space="preserve">Gain on revaluation of equity securities</t>
  </si>
  <si>
    <t xml:space="preserve">Pre-tax income</t>
  </si>
  <si>
    <t xml:space="preserve">Effective tax rate % (input)</t>
  </si>
  <si>
    <t xml:space="preserve">Income tax</t>
  </si>
  <si>
    <t xml:space="preserve">Net income</t>
  </si>
  <si>
    <t xml:space="preserve">  Net margin %</t>
  </si>
  <si>
    <t xml:space="preserve">SHARES &amp; EPS</t>
  </si>
  <si>
    <t xml:space="preserve">Diluted shares outstanding (M)</t>
  </si>
  <si>
    <t xml:space="preserve">Diluted EPS</t>
  </si>
  <si>
    <t xml:space="preserve">Financial Model — Task 2 · Consolidated Cash Flow Statement</t>
  </si>
  <si>
    <t xml:space="preserve">OPERATING ACTIVITIES</t>
  </si>
  <si>
    <t xml:space="preserve">Add: depreciation &amp; amortization</t>
  </si>
  <si>
    <t xml:space="preserve">Add: share-based compensation</t>
  </si>
  <si>
    <t xml:space="preserve">Less: gain on equity revaluation (non-cash)</t>
  </si>
  <si>
    <t xml:space="preserve">(Incr)/decr in accounts receivable</t>
  </si>
  <si>
    <t xml:space="preserve">Incr/(decr) in accounts payable &amp; accruals</t>
  </si>
  <si>
    <t xml:space="preserve">Incr/(decr) in deferred revenue (prepayments)</t>
  </si>
  <si>
    <t xml:space="preserve">Cash from operations</t>
  </si>
  <si>
    <t xml:space="preserve">INVESTING ACTIVITIES</t>
  </si>
  <si>
    <t xml:space="preserve">Capital expenditures</t>
  </si>
  <si>
    <t xml:space="preserve">Acquisitions (net)</t>
  </si>
  <si>
    <t xml:space="preserve">(Incr)/decr in investments &amp; other</t>
  </si>
  <si>
    <t xml:space="preserve">Cash from investing</t>
  </si>
  <si>
    <t xml:space="preserve">Free cash flow (CFO − capex)</t>
  </si>
  <si>
    <t xml:space="preserve">  FCF margin %</t>
  </si>
  <si>
    <t xml:space="preserve">FINANCING ACTIVITIES</t>
  </si>
  <si>
    <t xml:space="preserve">Debt issuance / (repayment), net</t>
  </si>
  <si>
    <t xml:space="preserve">Equity issuance, net</t>
  </si>
  <si>
    <t xml:space="preserve">Cash from financing</t>
  </si>
  <si>
    <t xml:space="preserve">Net change in cash</t>
  </si>
  <si>
    <t xml:space="preserve">Beginning cash</t>
  </si>
  <si>
    <t xml:space="preserve">Ending cash</t>
  </si>
  <si>
    <t xml:space="preserve">Financial Model — Task 2 · Consolidated Balance Sheet (balances by construction)</t>
  </si>
  <si>
    <t xml:space="preserve">ASSETS</t>
  </si>
  <si>
    <t xml:space="preserve">Cash &amp; equivalents</t>
  </si>
  <si>
    <t xml:space="preserve">DSO (days, input)</t>
  </si>
  <si>
    <t xml:space="preserve">Accounts receivable</t>
  </si>
  <si>
    <t xml:space="preserve">Prepaid &amp; other current assets</t>
  </si>
  <si>
    <t xml:space="preserve">Total current assets</t>
  </si>
  <si>
    <t xml:space="preserve">PP&amp;E, net</t>
  </si>
  <si>
    <t xml:space="preserve">Investments in equity securities (ClickHouse, etc.)</t>
  </si>
  <si>
    <t xml:space="preserve">Goodwill &amp; intangibles</t>
  </si>
  <si>
    <t xml:space="preserve">Total non-current assets</t>
  </si>
  <si>
    <t xml:space="preserve">TOTAL ASSETS</t>
  </si>
  <si>
    <t xml:space="preserve">LIABILITIES</t>
  </si>
  <si>
    <t xml:space="preserve">DPO (days, input)</t>
  </si>
  <si>
    <t xml:space="preserve">Accounts payable &amp; accruals</t>
  </si>
  <si>
    <t xml:space="preserve">Deferred revenue (customer prepayments)</t>
  </si>
  <si>
    <t xml:space="preserve">Total current liabilities</t>
  </si>
  <si>
    <t xml:space="preserve">Total debt (converts + secured)</t>
  </si>
  <si>
    <t xml:space="preserve">Other non-current liabilities</t>
  </si>
  <si>
    <t xml:space="preserve">TOTAL LIABILITIES</t>
  </si>
  <si>
    <t xml:space="preserve">EQUITY</t>
  </si>
  <si>
    <t xml:space="preserve">Share capital &amp; additional paid-in capital</t>
  </si>
  <si>
    <t xml:space="preserve">Retained earnings / (accumulated deficit)</t>
  </si>
  <si>
    <t xml:space="preserve">TOTAL EQUITY</t>
  </si>
  <si>
    <t xml:space="preserve">TOTAL LIABILITIES &amp; EQUITY</t>
  </si>
  <si>
    <t xml:space="preserve">BALANCE CHECK (Assets − L&amp;E)</t>
  </si>
  <si>
    <t xml:space="preserve">Financial Model — Task 2 · DCF Inputs (unlevered FCF) — feeds Task 3 valuation</t>
  </si>
  <si>
    <t xml:space="preserve">UNLEVERED FREE CASH FLOW</t>
  </si>
  <si>
    <t xml:space="preserve">EBIT</t>
  </si>
  <si>
    <t xml:space="preserve">Tax rate %</t>
  </si>
  <si>
    <t xml:space="preserve">NOPAT (EBIT × (1−tax), floored at EBIT if loss)</t>
  </si>
  <si>
    <t xml:space="preserve">Add: D&amp;A</t>
  </si>
  <si>
    <t xml:space="preserve">Less: capital expenditures</t>
  </si>
  <si>
    <t xml:space="preserve">Less: change in net working capital</t>
  </si>
  <si>
    <t xml:space="preserve">Unlevered free cash flow</t>
  </si>
  <si>
    <t xml:space="preserve">TERMINAL-YEAR (2030E) METRICS</t>
  </si>
  <si>
    <t xml:space="preserve">2030E revenue</t>
  </si>
  <si>
    <t xml:space="preserve">2030E adjusted EBITDA</t>
  </si>
  <si>
    <t xml:space="preserve">2030E EBIT</t>
  </si>
  <si>
    <t xml:space="preserve">2030E unlevered FCF</t>
  </si>
  <si>
    <t xml:space="preserve">WACC BUILDING BLOCKS  (preliminary — finalized in Task 3)</t>
  </si>
  <si>
    <t xml:space="preserve">Risk-free rate</t>
  </si>
  <si>
    <t xml:space="preserve">Equity risk premium</t>
  </si>
  <si>
    <t xml:space="preserve">Beta (levered)</t>
  </si>
  <si>
    <t xml:space="preserve">Cost of equity (CAPM)</t>
  </si>
  <si>
    <t xml:space="preserve">Pre-tax cost of debt</t>
  </si>
  <si>
    <t xml:space="preserve">Tax rate</t>
  </si>
  <si>
    <t xml:space="preserve">After-tax cost of debt</t>
  </si>
  <si>
    <t xml:space="preserve">Equity weight</t>
  </si>
  <si>
    <t xml:space="preserve">Debt weight</t>
  </si>
  <si>
    <t xml:space="preserve">WACC</t>
  </si>
  <si>
    <t xml:space="preserve">Terminal growth rate</t>
  </si>
  <si>
    <t xml:space="preserve">Note: EBIT is negative in the early build-out years, so unlevered FCF is deeply negative through the heavy-capex period and turns positive as capacity monetizes. Most DCF value sits in later years / terminal value — Task 3 will apply the full DCF and cross-check against EV/Revenue and EV/EBITDA multiples.</t>
  </si>
  <si>
    <t xml:space="preserve">Financial Model — Task 2 · Bull / Base / Bear Scenarios</t>
  </si>
  <si>
    <t xml:space="preserve">Bull</t>
  </si>
  <si>
    <t xml:space="preserve">Base</t>
  </si>
  <si>
    <t xml:space="preserve">Bear</t>
  </si>
  <si>
    <t xml:space="preserve">KEY ASSUMPTIONS (blue = scenario lever)</t>
  </si>
  <si>
    <t xml:space="preserve">Revenue CAGR 2025→2030E</t>
  </si>
  <si>
    <t xml:space="preserve">Adj. EBITDA margin 2030E</t>
  </si>
  <si>
    <t xml:space="preserve">Cumulative capex 2026–30E ($bn)</t>
  </si>
  <si>
    <t xml:space="preserve">OUTPUTS</t>
  </si>
  <si>
    <t xml:space="preserve">2030E revenue ($m)</t>
  </si>
  <si>
    <t xml:space="preserve">2030E adj. EBITDA ($m)</t>
  </si>
  <si>
    <t xml:space="preserve">  2030E adj. EBITDA margin %</t>
  </si>
  <si>
    <t xml:space="preserve">Implied 2030E EV/EBITDA @ 18x ($bn)</t>
  </si>
  <si>
    <t xml:space="preserve">Base-case link: 2030E revenue (model)</t>
  </si>
  <si>
    <t xml:space="preserve">SCENARIO RATIONALE</t>
  </si>
  <si>
    <t xml:space="preserve">Faster power/GPU delivery, stronger pricing, upside from re-selling Meta discretionary tranches and new hyperscaler wins; ClickHouse/non-core monetization adds non-dilutive capital.</t>
  </si>
  <si>
    <t xml:space="preserve">Management guidance delivered: FY2026 revenue $3.0–3.4bn and $7–9bn exit ARR, scaling to ~$21bn revenue and ~50% adj. EBITDA margin by 2030 as operating leverage builds.</t>
  </si>
  <si>
    <t xml:space="preserve">Meta/Microsoft delivery slips or renegotiates; hyperscaler self-build ("Meta Compute") compresses third-party demand; financing tightens amid the 2026–28 refinancing wall; GPU-rental commoditization pressures margins.</t>
  </si>
  <si>
    <t xml:space="preserve">Valuation — Task 3 · Discounted Cash Flow (unlevered FCF, exit-multiple terminal)</t>
  </si>
  <si>
    <t xml:space="preserve">KEY INPUTS  (blue = input)</t>
  </si>
  <si>
    <t xml:space="preserve">Current share price ($)</t>
  </si>
  <si>
    <t xml:space="preserve">Net cash / (net debt) ($m)</t>
  </si>
  <si>
    <t xml:space="preserve">Terminal exit EV/EBITDA (x)</t>
  </si>
  <si>
    <t xml:space="preserve">Terminal growth rate (cross-check)</t>
  </si>
  <si>
    <t xml:space="preserve">UNLEVERED FCF &amp; PRESENT VALUE</t>
  </si>
  <si>
    <t xml:space="preserve">Discount period (yrs)</t>
  </si>
  <si>
    <t xml:space="preserve">Discount factor @ WACC</t>
  </si>
  <si>
    <t xml:space="preserve">PV of unlevered FCF</t>
  </si>
  <si>
    <t xml:space="preserve">ENTERPRISE &amp; EQUITY VALUE (exit-multiple terminal)</t>
  </si>
  <si>
    <t xml:space="preserve">Sum of PV of explicit uFCF (2026–30E)</t>
  </si>
  <si>
    <t xml:space="preserve">Terminal value = EBITDA × exit multiple</t>
  </si>
  <si>
    <t xml:space="preserve">PV of terminal value</t>
  </si>
  <si>
    <t xml:space="preserve">Enterprise value</t>
  </si>
  <si>
    <t xml:space="preserve">  TV as % of enterprise value</t>
  </si>
  <si>
    <t xml:space="preserve">Add: net cash / (net debt)</t>
  </si>
  <si>
    <t xml:space="preserve">Equity value</t>
  </si>
  <si>
    <t xml:space="preserve">Implied value per share</t>
  </si>
  <si>
    <t xml:space="preserve">Upside / (downside) vs current</t>
  </si>
  <si>
    <t xml:space="preserve">CROSS-CHECK: PERPETUITY-GROWTH TERMINAL</t>
  </si>
  <si>
    <t xml:space="preserve">Terminal value = uFCF(2030)×(1+g)/(WACC−g)</t>
  </si>
  <si>
    <t xml:space="preserve">PV of terminal value (perpetuity)</t>
  </si>
  <si>
    <t xml:space="preserve">Implied EV (perpetuity method)</t>
  </si>
  <si>
    <t xml:space="preserve">Implied value per share (perpetuity)</t>
  </si>
  <si>
    <t xml:space="preserve">Note: explicit-period unlevered FCF is deeply negative (heavy build-out), so terminal value exceeds 100% of EV and the valuation is almost entirely terminal-dependent — the exit-multiple method is used as the primary terminal approach; perpetuity-growth understates value because 2030E FCF is not yet normalized. This terminal dependence is a key risk flag.</t>
  </si>
  <si>
    <t xml:space="preserve">Valuation — Task 3 · DCF Sensitivity (implied value per share, $)</t>
  </si>
  <si>
    <t xml:space="preserve">TABLE 1 — WACC (rows) × Terminal exit EV/EBITDA (cols)</t>
  </si>
  <si>
    <t xml:space="preserve">WACC \ Exit x</t>
  </si>
  <si>
    <t xml:space="preserve">Base case: WACC 11.4%, exit 15.0x (highlighted).</t>
  </si>
  <si>
    <t xml:space="preserve">TABLE 2 — WACC (rows) × Terminal growth (perpetuity method)</t>
  </si>
  <si>
    <t xml:space="preserve">WACC \ g</t>
  </si>
  <si>
    <t xml:space="preserve">Perpetuity method understates value (2030E FCF not normalized); shown for completeness.</t>
  </si>
  <si>
    <t xml:space="preserve">Valuation — Task 3 · Comparable Companies (neocloud / AI-infrastructure)</t>
  </si>
  <si>
    <t xml:space="preserve">PEER TRADING MULTIPLES  (market data ~Jul 24–27, 2026; smaller peers estimated)</t>
  </si>
  <si>
    <t xml:space="preserve">Company</t>
  </si>
  <si>
    <t xml:space="preserve">Ticker</t>
  </si>
  <si>
    <t xml:space="preserve">Mkt cap ($bn)</t>
  </si>
  <si>
    <t xml:space="preserve">EV ($bn)</t>
  </si>
  <si>
    <t xml:space="preserve">Rev LTM ($bn)</t>
  </si>
  <si>
    <t xml:space="preserve">Rev 2026E ($bn)</t>
  </si>
  <si>
    <t xml:space="preserve">Rev 2027E ($bn)</t>
  </si>
  <si>
    <t xml:space="preserve">EV/26E Rev</t>
  </si>
  <si>
    <t xml:space="preserve">EV/27E Rev</t>
  </si>
  <si>
    <t xml:space="preserve">Rev growth</t>
  </si>
  <si>
    <t xml:space="preserve">CoreWeave</t>
  </si>
  <si>
    <t xml:space="preserve">CRWV</t>
  </si>
  <si>
    <t xml:space="preserve">IREN Ltd*</t>
  </si>
  <si>
    <t xml:space="preserve">IREN</t>
  </si>
  <si>
    <t xml:space="preserve">Applied Digital*</t>
  </si>
  <si>
    <t xml:space="preserve">APLD</t>
  </si>
  <si>
    <t xml:space="preserve">Core Scientific*</t>
  </si>
  <si>
    <t xml:space="preserve">CORZ</t>
  </si>
  <si>
    <t xml:space="preserve">TeraWulf*</t>
  </si>
  <si>
    <t xml:space="preserve">WULF</t>
  </si>
  <si>
    <t xml:space="preserve">Nebius Group</t>
  </si>
  <si>
    <t xml:space="preserve">NBIS</t>
  </si>
  <si>
    <t xml:space="preserve">STATISTICAL SUMMARY — peer EV/2027E Revenue</t>
  </si>
  <si>
    <t xml:space="preserve">Maximum</t>
  </si>
  <si>
    <t xml:space="preserve">75th percentile</t>
  </si>
  <si>
    <t xml:space="preserve">Median</t>
  </si>
  <si>
    <t xml:space="preserve">25th percentile</t>
  </si>
  <si>
    <t xml:space="preserve">Minimum</t>
  </si>
  <si>
    <t xml:space="preserve">IMPLIED VALUATION — EV/2027E Revenue applied to NBIS ($7.5bn)</t>
  </si>
  <si>
    <t xml:space="preserve">NBIS trades at (EV/2027E Rev)</t>
  </si>
  <si>
    <t xml:space="preserve">Peer median (EV/2027E Rev)</t>
  </si>
  <si>
    <t xml:space="preserve">Growth premium multiplier (input)</t>
  </si>
  <si>
    <t xml:space="preserve">Applied EV/2027E Rev multiple:</t>
  </si>
  <si>
    <t xml:space="preserve">  Conservative (5.5x)</t>
  </si>
  <si>
    <t xml:space="preserve">  Base (growth-justified, 7.25x)</t>
  </si>
  <si>
    <t xml:space="preserve">  Optimistic (9.0x)</t>
  </si>
  <si>
    <t xml:space="preserve">EV ($m) and implied value/share shown in cols D–E. Note: on unadjusted peer medians NBIS screens expensive (~$100–120/sh); the premium multiple reflects superior growth, financing and full-stack differentiation — the crux of the bull/bear debate.</t>
  </si>
  <si>
    <t xml:space="preserve">Valuation — Task 3 · Precedent Transactions (AI-infrastructure / data-center context)</t>
  </si>
  <si>
    <t xml:space="preserve">SELECTED PRECEDENT TRANSACTIONS</t>
  </si>
  <si>
    <t xml:space="preserve">Date</t>
  </si>
  <si>
    <t xml:space="preserve">Target</t>
  </si>
  <si>
    <t xml:space="preserve">Acquirer</t>
  </si>
  <si>
    <t xml:space="preserve">Deal value</t>
  </si>
  <si>
    <t xml:space="preserve">Type</t>
  </si>
  <si>
    <t xml:space="preserve">Rationale / note</t>
  </si>
  <si>
    <t xml:space="preserve">2024</t>
  </si>
  <si>
    <t xml:space="preserve">ZT Systems</t>
  </si>
  <si>
    <t xml:space="preserve">AMD</t>
  </si>
  <si>
    <t xml:space="preserve">~$4.9bn</t>
  </si>
  <si>
    <t xml:space="preserve">AI server/infra</t>
  </si>
  <si>
    <t xml:space="preserve">AMD acquires AI systems/infrastructure capability</t>
  </si>
  <si>
    <t xml:space="preserve">Run:ai</t>
  </si>
  <si>
    <t xml:space="preserve">NVIDIA</t>
  </si>
  <si>
    <t xml:space="preserve">~$0.7bn</t>
  </si>
  <si>
    <t xml:space="preserve">AI orchestration</t>
  </si>
  <si>
    <t xml:space="preserve">GPU orchestration software</t>
  </si>
  <si>
    <t xml:space="preserve">AirTrunk</t>
  </si>
  <si>
    <t xml:space="preserve">Blackstone/CPPIB</t>
  </si>
  <si>
    <t xml:space="preserve">~$16bn</t>
  </si>
  <si>
    <t xml:space="preserve">Data centers (APAC)</t>
  </si>
  <si>
    <t xml:space="preserve">Hyperscale data-center platform</t>
  </si>
  <si>
    <t xml:space="preserve">2021</t>
  </si>
  <si>
    <t xml:space="preserve">CyrusOne</t>
  </si>
  <si>
    <t xml:space="preserve">KKR / GIP</t>
  </si>
  <si>
    <t xml:space="preserve">~$15bn</t>
  </si>
  <si>
    <t xml:space="preserve">Data-center REIT</t>
  </si>
  <si>
    <t xml:space="preserve">Take-private of data-center operator</t>
  </si>
  <si>
    <t xml:space="preserve">QTS Realty</t>
  </si>
  <si>
    <t xml:space="preserve">Blackstone</t>
  </si>
  <si>
    <t xml:space="preserve">~$10bn</t>
  </si>
  <si>
    <t xml:space="preserve">Observations: AI-infrastructure and data-center M&amp;A has consistently commanded high EV/Revenue multiples and control premiums of ~30%+, reflecting scarcity of power, sites and GPU capacity. However, direct comparability to Nebius is limited — a ~$59bn-market-cap, hyper-growth, listed neocloud is an unlikely near-term acquisition target, and these deals span REITs, orchestration software and server makers rather than pure neoclouds. Precedent transactions are therefore used qualitatively (control-premium context / downside support) and are NOT assigned a formal weight in the price target.</t>
  </si>
  <si>
    <t xml:space="preserve">Valuation — Task 3 · Summary, Football Field &amp; Recommendation</t>
  </si>
  <si>
    <t xml:space="preserve">METHOD SUMMARY (implied value per share, $)</t>
  </si>
  <si>
    <t xml:space="preserve">Method</t>
  </si>
  <si>
    <t xml:space="preserve">Low</t>
  </si>
  <si>
    <t xml:space="preserve">High</t>
  </si>
  <si>
    <t xml:space="preserve">Weight</t>
  </si>
  <si>
    <t xml:space="preserve">Weighted (base)</t>
  </si>
  <si>
    <t xml:space="preserve">DCF (exit-multiple)</t>
  </si>
  <si>
    <t xml:space="preserve">Trading comps (EV/2027E Rev)</t>
  </si>
  <si>
    <t xml:space="preserve">Precedent transactions</t>
  </si>
  <si>
    <t xml:space="preserve">context</t>
  </si>
  <si>
    <t xml:space="preserve">—</t>
  </si>
  <si>
    <t xml:space="preserve">Weighted 12-month price target</t>
  </si>
  <si>
    <t xml:space="preserve">RECOMMENDATION</t>
  </si>
  <si>
    <t xml:space="preserve">Current price</t>
  </si>
  <si>
    <t xml:space="preserve">12-month price target</t>
  </si>
  <si>
    <t xml:space="preserve">Upside / (downside)</t>
  </si>
  <si>
    <t xml:space="preserve">Rating</t>
  </si>
  <si>
    <t xml:space="preserve">NEUTRAL (Hold)</t>
  </si>
  <si>
    <t xml:space="preserve">FOOTBALL FIELD (value-per-share ranges)</t>
  </si>
  <si>
    <t xml:space="preserve">◄──────►</t>
  </si>
  <si>
    <t xml:space="preserve">Trading comps</t>
  </si>
  <si>
    <t xml:space="preserve">Price target</t>
  </si>
  <si>
    <t xml:space="preserve">Weighting rationale: DCF 60% (primary — captures the multi-year build-out and terminal economics), trading comps 40% (market-based cross-check). Precedent transactions carry no formal weight (a $59bn listed neocloud is an unlikely near-term acquisition target; used only for control-premium context). Base-case target ≈ current price → the stock is roughly fairly valued after a large run; risk/reward is balanced. Bull case (~$250+) requires flawless execution and an asset-light FCF inflection; bear case (~$145) reflects Meta in-sourcing, delivery slippage or financing stress. Would turn constructive (Buy) on a pullback toward the $150s.</t>
  </si>
  <si>
    <t xml:space="preserve">Nebius Group N.V. (NBIS) — Financial Model · Notes, Methodology &amp; Sources</t>
  </si>
  <si>
    <t xml:space="preserve">COLOR CODING:  Blue = hardcoded input / assumption · Black = formula · Green = link to another sheet · Red = balance check / flag.</t>
  </si>
  <si>
    <t xml:space="preserve">MODEL STRUCTURE:  2 historical years (FY2024A, FY2025A) + 5 projected years (FY2026E–FY2030E). Nebius Group was formed from the 2024 restructuring of Yandex N.V., so only two clean years of continuing-operations financials exist. Historicals are restated for the deconsolidation of Toloka (discontinued operations, Q2 2025).</t>
  </si>
  <si>
    <t xml:space="preserve">KEY HISTORICAL ANCHORS (audited / reported):</t>
  </si>
  <si>
    <t xml:space="preserve">   • Revenue: FY2024A $117.5m; FY2025A $529.8m (+351%).  Gross margin FY2025 68.6% (excludes D&amp;A).</t>
  </si>
  <si>
    <t xml:space="preserve">   • D&amp;A: FY2023 $29.3m → FY2024 $77.1m → FY2025 $417.9m (+442%).  SBC: FY2024 $54.5m → FY2025 $83.2m.</t>
  </si>
  <si>
    <t xml:space="preserve">   • FY2025 operating margin ≈ −115.5% (operating loss ≈ −$612m); GAAP net income +$82.5m, driven by large non-cash gains on equity stakes (mainly ClickHouse).</t>
  </si>
  <si>
    <t xml:space="preserve">   • Cash YE2025 $3.7bn; long-term debt $4.1bn (convertible senior notes at 1.25% / 2.60%); ~253m diluted shares.</t>
  </si>
  <si>
    <t xml:space="preserve">   • Exit-2025 core AI-cloud ARR $1.25bn (beat $0.9–1.1bn guidance); 170MW active power at YE2025.</t>
  </si>
  <si>
    <t xml:space="preserve">PROJECTION LOGIC (BASE CASE):</t>
  </si>
  <si>
    <t xml:space="preserve">   • Revenue: FY2026E $3.2bn (guidance midpoint $3.0–3.4bn); then ramp to ~$21bn by 2030E, anchored on $7–9bn exit-2026 ARR, &gt;4GW contracted power, and the NVIDIA JV targeting ~5GW by 2030.</t>
  </si>
  <si>
    <t xml:space="preserve">   • Adj. EBITDA margin: ~40% in FY2026E (guidance), rising to ~50% by 2030E on operating leverage (core AI-cloud adj. EBITDA margin was already 45% in Q1 2026).</t>
  </si>
  <si>
    <t xml:space="preserve">   • D&amp;A modeled as a declining % of revenue (55%→40%), calibrated to the placed-in-service asset base — construction-in-progress is not yet depreciated, so D&amp;A lags the enormous capex. This keeps GAAP EBIT negative through the heavy-build years, turning positive ~2029–2030, consistent with sector economics ("D&amp;A ≈ half of revenue").</t>
  </si>
  <si>
    <t xml:space="preserve">   • Capex: FY2026E $22.5bn (guidance $20–25bn), moderating thereafter as the build matures.</t>
  </si>
  <si>
    <t xml:space="preserve">   • Financing: funded by customer prepayments (deferred revenue), convertible + asset-backed debt, and the $2bn NVIDIA equity investment. Interest is computed on OPENING cash/debt balances to avoid circular references.</t>
  </si>
  <si>
    <t xml:space="preserve">   • Equity-revaluation gains (ClickHouse etc.) modeled at $0 in projections (conservative); represents lumpy upside to reported net income.</t>
  </si>
  <si>
    <t xml:space="preserve">BALANCE SHEET:  Balances by construction — every non-cash line is rolled forward from its corresponding income-statement or cash-flow flow, cash comes from the cash-flow statement, and working-capital deltas in the cash-flow statement reference the balance-sheet accounts. Balance check row = Assets − (Liabilities + Equity) = 0 for every year.</t>
  </si>
  <si>
    <t xml:space="preserve">DATA SOURCES:  Nebius Group FY2025 Form 20-F and Q4 2025 / Q1 2026 results releases and shareholder letters; Nebius SEC Form 6-K filings (Microsoft, Meta, financing); Nebius newsroom (acquisitions); StockTitan, Simply Wall St, StockAnalysis (market data &amp; derived metrics). All figures as of the most recent disclosures available July 27, 2026 (Q1 2026 reported May 13, 2026).</t>
  </si>
  <si>
    <t xml:space="preserve">LIMITATIONS:  Segment and geographic splits beyond the core/non-core division are estimated (company does not disclose a clean geographic breakdown). FY2024 gross margin, YE2024 balance-sheet items, and FY2025 capex are estimates where not separately disclosed, and are flagged in blue with cell comments. This model is an analytical tool, not investment advice.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</si>
</sst>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\$#,##0;&quot;($&quot;#,##0\);\-"/>
    <numFmt numFmtId="166" formatCode="0.0%;\(0.0%\);\-"/>
    <numFmt numFmtId="167" formatCode="0.0\x"/>
    <numFmt numFmtId="168" formatCode="0.0&quot;GW&quot;"/>
    <numFmt numFmtId="169" formatCode="#,##0;\(#,##0\);\-"/>
    <numFmt numFmtId="170" formatCode="\$#,##0.00;&quot;($&quot;#,##0.00\);\-"/>
    <numFmt numFmtId="171" formatCode="0.00"/>
    <numFmt numFmtId="172" formatCode="\$#,##0.0"/>
    <numFmt numFmtId="173" formatCode="\$#,##0.00"/>
    <numFmt numFmtId="174" formatCode="#,##0"/>
    <numFmt numFmtId="175" formatCode="\$#,##0;&quot;($&quot;#,##0\);\-"/>
    <numFmt numFmtId="176" formatCode="0.0%;\(0.0%\);\-"/>
    <numFmt numFmtId="177" formatCode="0.0\x"/>
    <numFmt numFmtId="178" formatCode="0"/>
    <numFmt numFmtId="179" formatCode="0.000"/>
    <numFmt numFmtId="180" formatCode="\$#,##0.0;&quot;($&quot;#,##0.0\);\-"/>
    <numFmt numFmtId="181" formatCode="0.0\x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Times New Roman"/>
      <family val="0"/>
      <charset val="1"/>
    </font>
    <font>
      <i val="true"/>
      <sz val="10"/>
      <color rgb="FF808080"/>
      <name val="Times New Roman"/>
      <family val="0"/>
      <charset val="1"/>
    </font>
    <font>
      <i val="true"/>
      <sz val="9"/>
      <color rgb="FFFFFFFF"/>
      <name val="Times New Roman"/>
      <family val="0"/>
      <charset val="1"/>
    </font>
    <font>
      <b val="true"/>
      <sz val="10"/>
      <color rgb="FFFFFFFF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b val="true"/>
      <sz val="10"/>
      <color rgb="FF0000FF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sz val="10"/>
      <color rgb="FF0000FF"/>
      <name val="Times New Roman"/>
      <family val="0"/>
      <charset val="1"/>
    </font>
    <font>
      <sz val="10"/>
      <name val="Arial"/>
      <family val="2"/>
    </font>
    <font>
      <b val="true"/>
      <sz val="9"/>
      <color rgb="FF1F3864"/>
      <name val="Times New Roman"/>
      <family val="0"/>
      <charset val="1"/>
    </font>
    <font>
      <sz val="9"/>
      <name val="Times New Roman"/>
      <family val="0"/>
      <charset val="1"/>
    </font>
    <font>
      <sz val="9"/>
      <color rgb="FF0000FF"/>
      <name val="Times New Roman"/>
      <family val="0"/>
      <charset val="1"/>
    </font>
    <font>
      <b val="true"/>
      <sz val="10"/>
      <color rgb="FF008000"/>
      <name val="Times New Roman"/>
      <family val="0"/>
      <charset val="1"/>
    </font>
    <font>
      <sz val="10"/>
      <color rgb="FF008000"/>
      <name val="Times New Roman"/>
      <family val="0"/>
      <charset val="1"/>
    </font>
    <font>
      <b val="true"/>
      <i val="true"/>
      <sz val="10"/>
      <color rgb="FF000000"/>
      <name val="Times New Roman"/>
      <family val="0"/>
      <charset val="1"/>
    </font>
    <font>
      <b val="true"/>
      <sz val="10"/>
      <color rgb="FFFF0000"/>
      <name val="Times New Roman"/>
      <family val="0"/>
      <charset val="1"/>
    </font>
    <font>
      <i val="true"/>
      <sz val="9"/>
      <color rgb="FF808080"/>
      <name val="Times New Roman"/>
      <family val="0"/>
      <charset val="1"/>
    </font>
    <font>
      <i val="true"/>
      <sz val="10"/>
      <color rgb="FF008000"/>
      <name val="Times New Roman"/>
      <family val="0"/>
      <charset val="1"/>
    </font>
    <font>
      <sz val="9"/>
      <color rgb="FF000000"/>
      <name val="Times New Roman"/>
      <family val="0"/>
      <charset val="1"/>
    </font>
    <font>
      <i val="true"/>
      <sz val="10"/>
      <color rgb="FFFF0000"/>
      <name val="Times New Roman"/>
      <family val="0"/>
      <charset val="1"/>
    </font>
    <font>
      <b val="true"/>
      <sz val="10"/>
      <color rgb="FF1F3864"/>
      <name val="Times New Roman"/>
      <family val="0"/>
      <charset val="1"/>
    </font>
    <font>
      <sz val="10"/>
      <color rgb="FF808080"/>
      <name val="Times New Roman"/>
      <family val="0"/>
      <charset val="1"/>
    </font>
    <font>
      <sz val="10"/>
      <color rgb="FF2E5496"/>
      <name val="Times New Roman"/>
      <family val="0"/>
      <charset val="1"/>
    </font>
    <font>
      <sz val="10"/>
      <color rgb="FF2E7D32"/>
      <name val="Times New Roman"/>
      <family val="0"/>
      <charset val="1"/>
    </font>
    <font>
      <b val="true"/>
      <sz val="13"/>
      <color rgb="FF1F3864"/>
      <name val="Times New Roman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496"/>
        <bgColor rgb="FF1F3864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2E549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2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5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9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6" fontId="2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8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20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76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80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5" fillId="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5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80" fontId="9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80" fontId="17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8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9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81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3" fontId="1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8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2E7D32"/>
      <rgbColor rgb="FF003300"/>
      <rgbColor rgb="FF333300"/>
      <rgbColor rgb="FF993300"/>
      <rgbColor rgb="FF993366"/>
      <rgbColor rgb="FF2E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7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8" min="2" style="1" width="12.5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customFormat="false" ht="15" hidden="false" customHeight="true" outlineLevel="0" collapsed="false">
      <c r="A5" s="6" t="s">
        <v>10</v>
      </c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8" t="s">
        <v>11</v>
      </c>
      <c r="B6" s="9" t="n">
        <v>117.5</v>
      </c>
      <c r="C6" s="9" t="n">
        <v>529.8</v>
      </c>
      <c r="D6" s="9" t="n">
        <v>3200</v>
      </c>
      <c r="E6" s="9" t="n">
        <v>7500</v>
      </c>
      <c r="F6" s="9" t="n">
        <v>12000</v>
      </c>
      <c r="G6" s="9" t="n">
        <v>16500</v>
      </c>
      <c r="H6" s="9" t="n">
        <v>21000</v>
      </c>
    </row>
    <row r="7" customFormat="false" ht="15" hidden="false" customHeight="true" outlineLevel="0" collapsed="false">
      <c r="A7" s="10" t="s">
        <v>12</v>
      </c>
      <c r="C7" s="11" t="n">
        <f aca="false">C6/B6-1</f>
        <v>3.50893617021277</v>
      </c>
      <c r="D7" s="11" t="n">
        <f aca="false">D6/C6-1</f>
        <v>5.04001510003775</v>
      </c>
      <c r="E7" s="11" t="n">
        <f aca="false">E6/D6-1</f>
        <v>1.34375</v>
      </c>
      <c r="F7" s="11" t="n">
        <f aca="false">F6/E6-1</f>
        <v>0.6</v>
      </c>
      <c r="G7" s="11" t="n">
        <f aca="false">G6/F6-1</f>
        <v>0.375</v>
      </c>
      <c r="H7" s="11" t="n">
        <f aca="false">H6/G6-1</f>
        <v>0.272727272727273</v>
      </c>
    </row>
    <row r="9" customFormat="false" ht="15" hidden="false" customHeight="true" outlineLevel="0" collapsed="false">
      <c r="A9" s="6" t="s">
        <v>13</v>
      </c>
      <c r="B9" s="7"/>
      <c r="C9" s="7"/>
      <c r="D9" s="7"/>
      <c r="E9" s="7"/>
      <c r="F9" s="7"/>
      <c r="G9" s="7"/>
      <c r="H9" s="7"/>
    </row>
    <row r="10" customFormat="false" ht="15" hidden="false" customHeight="true" outlineLevel="0" collapsed="false">
      <c r="A10" s="12" t="s">
        <v>14</v>
      </c>
      <c r="B10" s="13" t="n">
        <v>0.64</v>
      </c>
      <c r="C10" s="13" t="n">
        <v>0.85</v>
      </c>
      <c r="D10" s="13" t="n">
        <v>0.95</v>
      </c>
      <c r="E10" s="13" t="n">
        <v>0.96</v>
      </c>
      <c r="F10" s="13" t="n">
        <v>0.96</v>
      </c>
      <c r="G10" s="13" t="n">
        <v>0.96</v>
      </c>
      <c r="H10" s="13" t="n">
        <v>0.97</v>
      </c>
    </row>
    <row r="11" customFormat="false" ht="15" hidden="false" customHeight="true" outlineLevel="0" collapsed="false">
      <c r="A11" s="8" t="s">
        <v>15</v>
      </c>
      <c r="B11" s="14" t="n">
        <f aca="false">B6*B10</f>
        <v>75.2</v>
      </c>
      <c r="C11" s="14" t="n">
        <f aca="false">C6*C10</f>
        <v>450.33</v>
      </c>
      <c r="D11" s="14" t="n">
        <f aca="false">D6*D10</f>
        <v>3040</v>
      </c>
      <c r="E11" s="14" t="n">
        <f aca="false">E6*E10</f>
        <v>7200</v>
      </c>
      <c r="F11" s="14" t="n">
        <f aca="false">F6*F10</f>
        <v>11520</v>
      </c>
      <c r="G11" s="14" t="n">
        <f aca="false">G6*G10</f>
        <v>15840</v>
      </c>
      <c r="H11" s="14" t="n">
        <f aca="false">H6*H10</f>
        <v>20370</v>
      </c>
    </row>
    <row r="12" customFormat="false" ht="15" hidden="false" customHeight="true" outlineLevel="0" collapsed="false">
      <c r="A12" s="12" t="s">
        <v>16</v>
      </c>
      <c r="B12" s="15" t="n">
        <f aca="false">B6-B11</f>
        <v>42.3</v>
      </c>
      <c r="C12" s="15" t="n">
        <f aca="false">C6-C11</f>
        <v>79.47</v>
      </c>
      <c r="D12" s="15" t="n">
        <f aca="false">D6-D11</f>
        <v>160</v>
      </c>
      <c r="E12" s="15" t="n">
        <f aca="false">E6-E11</f>
        <v>300</v>
      </c>
      <c r="F12" s="15" t="n">
        <f aca="false">F6-F11</f>
        <v>480</v>
      </c>
      <c r="G12" s="15" t="n">
        <f aca="false">G6-G11</f>
        <v>660</v>
      </c>
      <c r="H12" s="15" t="n">
        <f aca="false">H6-H11</f>
        <v>630</v>
      </c>
    </row>
    <row r="13" customFormat="false" ht="15" hidden="false" customHeight="true" outlineLevel="0" collapsed="false">
      <c r="A13" s="10" t="s">
        <v>17</v>
      </c>
      <c r="C13" s="11" t="n">
        <f aca="false">C11/B11-1</f>
        <v>4.98843085106383</v>
      </c>
      <c r="D13" s="11" t="n">
        <f aca="false">D11/C11-1</f>
        <v>5.7506051118069</v>
      </c>
      <c r="E13" s="11" t="n">
        <f aca="false">E11/D11-1</f>
        <v>1.36842105263158</v>
      </c>
      <c r="F13" s="11" t="n">
        <f aca="false">F11/E11-1</f>
        <v>0.6</v>
      </c>
      <c r="G13" s="11" t="n">
        <f aca="false">G11/F11-1</f>
        <v>0.375</v>
      </c>
      <c r="H13" s="11" t="n">
        <f aca="false">H11/G11-1</f>
        <v>0.285984848484848</v>
      </c>
    </row>
    <row r="15" customFormat="false" ht="15" hidden="false" customHeight="true" outlineLevel="0" collapsed="false">
      <c r="A15" s="6" t="s">
        <v>18</v>
      </c>
      <c r="B15" s="7"/>
      <c r="C15" s="7"/>
      <c r="D15" s="7"/>
      <c r="E15" s="7"/>
      <c r="F15" s="7"/>
      <c r="G15" s="7"/>
      <c r="H15" s="7"/>
    </row>
    <row r="16" customFormat="false" ht="15" hidden="false" customHeight="true" outlineLevel="0" collapsed="false">
      <c r="A16" s="8" t="s">
        <v>19</v>
      </c>
      <c r="C16" s="9" t="n">
        <v>1250</v>
      </c>
      <c r="D16" s="9" t="n">
        <v>8000</v>
      </c>
      <c r="E16" s="9" t="n">
        <v>13500</v>
      </c>
      <c r="F16" s="9" t="n">
        <v>18000</v>
      </c>
      <c r="G16" s="9" t="n">
        <v>22000</v>
      </c>
      <c r="H16" s="9" t="n">
        <v>26000</v>
      </c>
    </row>
    <row r="17" customFormat="false" ht="15" hidden="false" customHeight="true" outlineLevel="0" collapsed="false">
      <c r="A17" s="10" t="s">
        <v>20</v>
      </c>
      <c r="C17" s="16" t="n">
        <f aca="false">C11/C16</f>
        <v>0.360264</v>
      </c>
      <c r="D17" s="16" t="n">
        <f aca="false">D11/D16</f>
        <v>0.38</v>
      </c>
      <c r="E17" s="16" t="n">
        <f aca="false">E11/E16</f>
        <v>0.533333333333333</v>
      </c>
      <c r="F17" s="16" t="n">
        <f aca="false">F11/F16</f>
        <v>0.64</v>
      </c>
      <c r="G17" s="16" t="n">
        <f aca="false">G11/G16</f>
        <v>0.72</v>
      </c>
      <c r="H17" s="16" t="n">
        <f aca="false">H11/H16</f>
        <v>0.783461538461538</v>
      </c>
    </row>
    <row r="18" customFormat="false" ht="15" hidden="false" customHeight="true" outlineLevel="0" collapsed="false">
      <c r="A18" s="12" t="s">
        <v>21</v>
      </c>
      <c r="C18" s="17" t="n">
        <v>0.17</v>
      </c>
      <c r="D18" s="17" t="n">
        <v>1</v>
      </c>
      <c r="E18" s="17" t="n">
        <v>2.5</v>
      </c>
      <c r="F18" s="17" t="n">
        <v>3.5</v>
      </c>
      <c r="G18" s="17" t="n">
        <v>4.5</v>
      </c>
      <c r="H18" s="17" t="n">
        <v>5</v>
      </c>
    </row>
    <row r="20" customFormat="false" ht="15" hidden="false" customHeight="true" outlineLevel="0" collapsed="false">
      <c r="A20" s="6" t="s">
        <v>22</v>
      </c>
      <c r="B20" s="7"/>
      <c r="C20" s="7"/>
      <c r="D20" s="7"/>
      <c r="E20" s="7"/>
      <c r="F20" s="7"/>
      <c r="G20" s="7"/>
      <c r="H20" s="7"/>
    </row>
    <row r="21" customFormat="false" ht="15" hidden="false" customHeight="true" outlineLevel="0" collapsed="false">
      <c r="A21" s="12" t="s">
        <v>23</v>
      </c>
      <c r="B21" s="13" t="n">
        <v>0.7</v>
      </c>
      <c r="C21" s="13" t="n">
        <v>0.55</v>
      </c>
      <c r="D21" s="13" t="n">
        <v>0.5</v>
      </c>
      <c r="E21" s="13" t="n">
        <v>0.46</v>
      </c>
      <c r="F21" s="13" t="n">
        <v>0.43</v>
      </c>
      <c r="G21" s="13" t="n">
        <v>0.41</v>
      </c>
      <c r="H21" s="13" t="n">
        <v>0.4</v>
      </c>
    </row>
    <row r="22" customFormat="false" ht="15" hidden="false" customHeight="true" outlineLevel="0" collapsed="false">
      <c r="A22" s="12" t="s">
        <v>24</v>
      </c>
      <c r="B22" s="13" t="n">
        <v>0.22</v>
      </c>
      <c r="C22" s="13" t="n">
        <v>0.35</v>
      </c>
      <c r="D22" s="13" t="n">
        <v>0.42</v>
      </c>
      <c r="E22" s="13" t="n">
        <v>0.46</v>
      </c>
      <c r="F22" s="13" t="n">
        <v>0.49</v>
      </c>
      <c r="G22" s="13" t="n">
        <v>0.51</v>
      </c>
      <c r="H22" s="13" t="n">
        <v>0.52</v>
      </c>
    </row>
    <row r="23" customFormat="false" ht="15" hidden="false" customHeight="true" outlineLevel="0" collapsed="false">
      <c r="A23" s="12" t="s">
        <v>25</v>
      </c>
      <c r="B23" s="18" t="n">
        <f aca="false">1-B21-B22</f>
        <v>0.08</v>
      </c>
      <c r="C23" s="18" t="n">
        <f aca="false">1-C21-C22</f>
        <v>0.1</v>
      </c>
      <c r="D23" s="18" t="n">
        <f aca="false">1-D21-D22</f>
        <v>0.08</v>
      </c>
      <c r="E23" s="18" t="n">
        <f aca="false">1-E21-E22</f>
        <v>0.08</v>
      </c>
      <c r="F23" s="18" t="n">
        <f aca="false">1-F21-F22</f>
        <v>0.0800000000000001</v>
      </c>
      <c r="G23" s="18" t="n">
        <f aca="false">1-G21-G22</f>
        <v>0.0800000000000001</v>
      </c>
      <c r="H23" s="18" t="n">
        <f aca="false">1-H21-H22</f>
        <v>0.08</v>
      </c>
    </row>
    <row r="24" customFormat="false" ht="15" hidden="false" customHeight="true" outlineLevel="0" collapsed="false">
      <c r="A24" s="12" t="s">
        <v>26</v>
      </c>
      <c r="B24" s="15" t="n">
        <f aca="false">B6*B21</f>
        <v>82.25</v>
      </c>
      <c r="C24" s="15" t="n">
        <f aca="false">C6*C21</f>
        <v>291.39</v>
      </c>
      <c r="D24" s="15" t="n">
        <f aca="false">D6*D21</f>
        <v>1600</v>
      </c>
      <c r="E24" s="15" t="n">
        <f aca="false">E6*E21</f>
        <v>3450</v>
      </c>
      <c r="F24" s="15" t="n">
        <f aca="false">F6*F21</f>
        <v>5160</v>
      </c>
      <c r="G24" s="15" t="n">
        <f aca="false">G6*G21</f>
        <v>6765</v>
      </c>
      <c r="H24" s="15" t="n">
        <f aca="false">H6*H21</f>
        <v>8400</v>
      </c>
    </row>
    <row r="25" customFormat="false" ht="15" hidden="false" customHeight="true" outlineLevel="0" collapsed="false">
      <c r="A25" s="12" t="s">
        <v>27</v>
      </c>
      <c r="B25" s="15" t="n">
        <f aca="false">B6*B22</f>
        <v>25.85</v>
      </c>
      <c r="C25" s="15" t="n">
        <f aca="false">C6*C22</f>
        <v>185.43</v>
      </c>
      <c r="D25" s="15" t="n">
        <f aca="false">D6*D22</f>
        <v>1344</v>
      </c>
      <c r="E25" s="15" t="n">
        <f aca="false">E6*E22</f>
        <v>3450</v>
      </c>
      <c r="F25" s="15" t="n">
        <f aca="false">F6*F22</f>
        <v>5880</v>
      </c>
      <c r="G25" s="15" t="n">
        <f aca="false">G6*G22</f>
        <v>8415</v>
      </c>
      <c r="H25" s="15" t="n">
        <f aca="false">H6*H22</f>
        <v>10920</v>
      </c>
    </row>
    <row r="26" customFormat="false" ht="15" hidden="false" customHeight="true" outlineLevel="0" collapsed="false">
      <c r="A26" s="12" t="s">
        <v>28</v>
      </c>
      <c r="B26" s="15" t="n">
        <f aca="false">B6*B23</f>
        <v>9.40000000000001</v>
      </c>
      <c r="C26" s="15" t="n">
        <f aca="false">C6*C23</f>
        <v>52.98</v>
      </c>
      <c r="D26" s="15" t="n">
        <f aca="false">D6*D23</f>
        <v>256</v>
      </c>
      <c r="E26" s="15" t="n">
        <f aca="false">E6*E23</f>
        <v>600</v>
      </c>
      <c r="F26" s="15" t="n">
        <f aca="false">F6*F23</f>
        <v>960.000000000001</v>
      </c>
      <c r="G26" s="15" t="n">
        <f aca="false">G6*G23</f>
        <v>1320</v>
      </c>
      <c r="H26" s="15" t="n">
        <f aca="false">H6*H23</f>
        <v>1680</v>
      </c>
    </row>
    <row r="27" customFormat="false" ht="15" hidden="false" customHeight="true" outlineLevel="0" collapsed="false">
      <c r="A27" s="10" t="s">
        <v>29</v>
      </c>
      <c r="B27" s="19" t="n">
        <f aca="false">B6*(B21+B22+B23)-B6</f>
        <v>0</v>
      </c>
      <c r="C27" s="19" t="n">
        <f aca="false">C6*(C21+C22+C23)-C6</f>
        <v>0</v>
      </c>
      <c r="D27" s="19" t="n">
        <f aca="false">D6*(D21+D22+D23)-D6</f>
        <v>0</v>
      </c>
      <c r="E27" s="19" t="n">
        <f aca="false">E6*(E21+E22+E23)-E6</f>
        <v>0</v>
      </c>
      <c r="F27" s="19" t="n">
        <f aca="false">F6*(F21+F22+F23)-F6</f>
        <v>0</v>
      </c>
      <c r="G27" s="19" t="n">
        <f aca="false">G6*(G21+G22+G23)-G6</f>
        <v>0</v>
      </c>
      <c r="H27" s="19" t="n">
        <f aca="false">H6*(H21+H22+H23)-H6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8" min="2" style="1" width="12.5"/>
  </cols>
  <sheetData>
    <row r="1" customFormat="false" ht="17.25" hidden="false" customHeight="true" outlineLevel="0" collapsed="false">
      <c r="A1" s="2" t="s">
        <v>0</v>
      </c>
      <c r="J1" s="20" t="s">
        <v>30</v>
      </c>
    </row>
    <row r="2" customFormat="false" ht="15" hidden="false" customHeight="true" outlineLevel="0" collapsed="false">
      <c r="A2" s="3" t="s">
        <v>31</v>
      </c>
      <c r="J2" s="21" t="s">
        <v>32</v>
      </c>
      <c r="K2" s="22" t="n">
        <v>0.035</v>
      </c>
    </row>
    <row r="3" customFormat="false" ht="15" hidden="false" customHeight="true" outlineLevel="0" collapsed="false">
      <c r="J3" s="21" t="s">
        <v>33</v>
      </c>
      <c r="K3" s="22" t="n">
        <v>0.04</v>
      </c>
    </row>
    <row r="4" customFormat="false" ht="15" hidden="false" customHeight="tru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customFormat="false" ht="15" hidden="false" customHeight="true" outlineLevel="0" collapsed="false">
      <c r="A5" s="6" t="s">
        <v>34</v>
      </c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8" t="s">
        <v>35</v>
      </c>
      <c r="B6" s="23" t="n">
        <f aca="false">'Revenue Model'!B6</f>
        <v>117.5</v>
      </c>
      <c r="C6" s="23" t="n">
        <f aca="false">'Revenue Model'!C6</f>
        <v>529.8</v>
      </c>
      <c r="D6" s="23" t="n">
        <f aca="false">'Revenue Model'!D6</f>
        <v>3200</v>
      </c>
      <c r="E6" s="23" t="n">
        <f aca="false">'Revenue Model'!E6</f>
        <v>7500</v>
      </c>
      <c r="F6" s="23" t="n">
        <f aca="false">'Revenue Model'!F6</f>
        <v>12000</v>
      </c>
      <c r="G6" s="23" t="n">
        <f aca="false">'Revenue Model'!G6</f>
        <v>16500</v>
      </c>
      <c r="H6" s="23" t="n">
        <f aca="false">'Revenue Model'!H6</f>
        <v>21000</v>
      </c>
    </row>
    <row r="7" customFormat="false" ht="15" hidden="false" customHeight="true" outlineLevel="0" collapsed="false">
      <c r="A7" s="10" t="s">
        <v>12</v>
      </c>
      <c r="C7" s="11" t="n">
        <f aca="false">C6/B6-1</f>
        <v>3.50893617021277</v>
      </c>
      <c r="D7" s="11" t="n">
        <f aca="false">D6/C6-1</f>
        <v>5.04001510003775</v>
      </c>
      <c r="E7" s="11" t="n">
        <f aca="false">E6/D6-1</f>
        <v>1.34375</v>
      </c>
      <c r="F7" s="11" t="n">
        <f aca="false">F6/E6-1</f>
        <v>0.6</v>
      </c>
      <c r="G7" s="11" t="n">
        <f aca="false">G6/F6-1</f>
        <v>0.375</v>
      </c>
      <c r="H7" s="11" t="n">
        <f aca="false">H6/G6-1</f>
        <v>0.272727272727273</v>
      </c>
    </row>
    <row r="9" customFormat="false" ht="15" hidden="false" customHeight="true" outlineLevel="0" collapsed="false">
      <c r="A9" s="6" t="s">
        <v>36</v>
      </c>
      <c r="B9" s="7"/>
      <c r="C9" s="7"/>
      <c r="D9" s="7"/>
      <c r="E9" s="7"/>
      <c r="F9" s="7"/>
      <c r="G9" s="7"/>
      <c r="H9" s="7"/>
    </row>
    <row r="10" customFormat="false" ht="15" hidden="false" customHeight="true" outlineLevel="0" collapsed="false">
      <c r="A10" s="12" t="s">
        <v>37</v>
      </c>
      <c r="B10" s="13" t="n">
        <v>0.5</v>
      </c>
      <c r="C10" s="13" t="n">
        <v>0.686</v>
      </c>
      <c r="D10" s="13" t="n">
        <v>0.68</v>
      </c>
      <c r="E10" s="13" t="n">
        <v>0.69</v>
      </c>
      <c r="F10" s="13" t="n">
        <v>0.7</v>
      </c>
      <c r="G10" s="13" t="n">
        <v>0.7</v>
      </c>
      <c r="H10" s="13" t="n">
        <v>0.7</v>
      </c>
    </row>
    <row r="11" customFormat="false" ht="15" hidden="false" customHeight="true" outlineLevel="0" collapsed="false">
      <c r="A11" s="12" t="s">
        <v>38</v>
      </c>
      <c r="B11" s="15" t="n">
        <f aca="false">-B6*(1-B10)</f>
        <v>-58.75</v>
      </c>
      <c r="C11" s="15" t="n">
        <f aca="false">-C6*(1-C10)</f>
        <v>-166.3572</v>
      </c>
      <c r="D11" s="15" t="n">
        <f aca="false">-D6*(1-D10)</f>
        <v>-1024</v>
      </c>
      <c r="E11" s="15" t="n">
        <f aca="false">-E6*(1-E10)</f>
        <v>-2325</v>
      </c>
      <c r="F11" s="15" t="n">
        <f aca="false">-F6*(1-F10)</f>
        <v>-3600</v>
      </c>
      <c r="G11" s="15" t="n">
        <f aca="false">-G6*(1-G10)</f>
        <v>-4950</v>
      </c>
      <c r="H11" s="15" t="n">
        <f aca="false">-H6*(1-H10)</f>
        <v>-6300</v>
      </c>
    </row>
    <row r="12" customFormat="false" ht="15" hidden="false" customHeight="true" outlineLevel="0" collapsed="false">
      <c r="A12" s="8" t="s">
        <v>39</v>
      </c>
      <c r="B12" s="14" t="n">
        <f aca="false">B6+B11</f>
        <v>58.75</v>
      </c>
      <c r="C12" s="14" t="n">
        <f aca="false">C6+C11</f>
        <v>363.4428</v>
      </c>
      <c r="D12" s="14" t="n">
        <f aca="false">D6+D11</f>
        <v>2176</v>
      </c>
      <c r="E12" s="14" t="n">
        <f aca="false">E6+E11</f>
        <v>5175</v>
      </c>
      <c r="F12" s="14" t="n">
        <f aca="false">F6+F11</f>
        <v>8400</v>
      </c>
      <c r="G12" s="14" t="n">
        <f aca="false">G6+G11</f>
        <v>11550</v>
      </c>
      <c r="H12" s="14" t="n">
        <f aca="false">H6+H11</f>
        <v>14700</v>
      </c>
    </row>
    <row r="13" customFormat="false" ht="15" hidden="false" customHeight="true" outlineLevel="0" collapsed="false">
      <c r="A13" s="10" t="s">
        <v>40</v>
      </c>
      <c r="B13" s="11" t="n">
        <f aca="false">B12/B6</f>
        <v>0.5</v>
      </c>
      <c r="C13" s="11" t="n">
        <f aca="false">C12/C6</f>
        <v>0.686</v>
      </c>
      <c r="D13" s="11" t="n">
        <f aca="false">D12/D6</f>
        <v>0.68</v>
      </c>
      <c r="E13" s="11" t="n">
        <f aca="false">E12/E6</f>
        <v>0.69</v>
      </c>
      <c r="F13" s="11" t="n">
        <f aca="false">F12/F6</f>
        <v>0.7</v>
      </c>
      <c r="G13" s="11" t="n">
        <f aca="false">G12/G6</f>
        <v>0.7</v>
      </c>
      <c r="H13" s="11" t="n">
        <f aca="false">H12/H6</f>
        <v>0.7</v>
      </c>
    </row>
    <row r="15" customFormat="false" ht="15" hidden="false" customHeight="true" outlineLevel="0" collapsed="false">
      <c r="A15" s="6" t="s">
        <v>41</v>
      </c>
      <c r="B15" s="7"/>
      <c r="C15" s="7"/>
      <c r="D15" s="7"/>
      <c r="E15" s="7"/>
      <c r="F15" s="7"/>
      <c r="G15" s="7"/>
      <c r="H15" s="7"/>
    </row>
    <row r="16" customFormat="false" ht="15" hidden="false" customHeight="true" outlineLevel="0" collapsed="false">
      <c r="A16" s="12" t="s">
        <v>42</v>
      </c>
      <c r="B16" s="13" t="n">
        <v>0.85</v>
      </c>
      <c r="C16" s="13" t="n">
        <v>0.3</v>
      </c>
      <c r="D16" s="13" t="n">
        <v>0.13</v>
      </c>
      <c r="E16" s="13" t="n">
        <v>0.11</v>
      </c>
      <c r="F16" s="13" t="n">
        <v>0.1</v>
      </c>
      <c r="G16" s="13" t="n">
        <v>0.095</v>
      </c>
      <c r="H16" s="13" t="n">
        <v>0.09</v>
      </c>
    </row>
    <row r="17" customFormat="false" ht="15" hidden="false" customHeight="true" outlineLevel="0" collapsed="false">
      <c r="A17" s="12" t="s">
        <v>43</v>
      </c>
      <c r="B17" s="15" t="n">
        <f aca="false">-B6*B16</f>
        <v>-99.875</v>
      </c>
      <c r="C17" s="15" t="n">
        <f aca="false">-C6*C16</f>
        <v>-158.94</v>
      </c>
      <c r="D17" s="15" t="n">
        <f aca="false">-D6*D16</f>
        <v>-416</v>
      </c>
      <c r="E17" s="15" t="n">
        <f aca="false">-E6*E16</f>
        <v>-825</v>
      </c>
      <c r="F17" s="15" t="n">
        <f aca="false">-F6*F16</f>
        <v>-1200</v>
      </c>
      <c r="G17" s="15" t="n">
        <f aca="false">-G6*G16</f>
        <v>-1567.5</v>
      </c>
      <c r="H17" s="15" t="n">
        <f aca="false">-H6*H16</f>
        <v>-1890</v>
      </c>
    </row>
    <row r="18" customFormat="false" ht="15" hidden="false" customHeight="true" outlineLevel="0" collapsed="false">
      <c r="A18" s="12" t="s">
        <v>44</v>
      </c>
      <c r="B18" s="13" t="n">
        <v>1.3</v>
      </c>
      <c r="C18" s="13" t="n">
        <v>0.42</v>
      </c>
      <c r="D18" s="13" t="n">
        <v>0.15</v>
      </c>
      <c r="E18" s="13" t="n">
        <v>0.14</v>
      </c>
      <c r="F18" s="13" t="n">
        <v>0.13</v>
      </c>
      <c r="G18" s="13" t="n">
        <v>0.115</v>
      </c>
      <c r="H18" s="13" t="n">
        <v>0.11</v>
      </c>
    </row>
    <row r="19" customFormat="false" ht="15" hidden="false" customHeight="true" outlineLevel="0" collapsed="false">
      <c r="A19" s="12" t="s">
        <v>45</v>
      </c>
      <c r="B19" s="15" t="n">
        <f aca="false">-B6*B18</f>
        <v>-152.75</v>
      </c>
      <c r="C19" s="15" t="n">
        <f aca="false">-C6*C18</f>
        <v>-222.516</v>
      </c>
      <c r="D19" s="15" t="n">
        <f aca="false">-D6*D18</f>
        <v>-480</v>
      </c>
      <c r="E19" s="15" t="n">
        <f aca="false">-E6*E18</f>
        <v>-1050</v>
      </c>
      <c r="F19" s="15" t="n">
        <f aca="false">-F6*F18</f>
        <v>-1560</v>
      </c>
      <c r="G19" s="15" t="n">
        <f aca="false">-G6*G18</f>
        <v>-1897.5</v>
      </c>
      <c r="H19" s="15" t="n">
        <f aca="false">-H6*H18</f>
        <v>-2310</v>
      </c>
    </row>
    <row r="20" customFormat="false" ht="15" hidden="false" customHeight="true" outlineLevel="0" collapsed="false">
      <c r="A20" s="8" t="s">
        <v>46</v>
      </c>
      <c r="B20" s="14" t="n">
        <f aca="false">B17+B19</f>
        <v>-252.625</v>
      </c>
      <c r="C20" s="14" t="n">
        <f aca="false">C17+C19</f>
        <v>-381.456</v>
      </c>
      <c r="D20" s="14" t="n">
        <f aca="false">D17+D19</f>
        <v>-896</v>
      </c>
      <c r="E20" s="14" t="n">
        <f aca="false">E17+E19</f>
        <v>-1875</v>
      </c>
      <c r="F20" s="14" t="n">
        <f aca="false">F17+F19</f>
        <v>-2760</v>
      </c>
      <c r="G20" s="14" t="n">
        <f aca="false">G17+G19</f>
        <v>-3465</v>
      </c>
      <c r="H20" s="14" t="n">
        <f aca="false">H17+H19</f>
        <v>-4200</v>
      </c>
    </row>
    <row r="22" customFormat="false" ht="15" hidden="false" customHeight="true" outlineLevel="0" collapsed="false">
      <c r="A22" s="6" t="s">
        <v>47</v>
      </c>
      <c r="B22" s="7"/>
      <c r="C22" s="7"/>
      <c r="D22" s="7"/>
      <c r="E22" s="7"/>
      <c r="F22" s="7"/>
      <c r="G22" s="7"/>
      <c r="H22" s="7"/>
    </row>
    <row r="23" customFormat="false" ht="15" hidden="false" customHeight="true" outlineLevel="0" collapsed="false">
      <c r="A23" s="8" t="s">
        <v>48</v>
      </c>
      <c r="B23" s="14" t="n">
        <f aca="false">B12+B20</f>
        <v>-193.875</v>
      </c>
      <c r="C23" s="14" t="n">
        <f aca="false">C12+C20</f>
        <v>-18.0131999999999</v>
      </c>
      <c r="D23" s="14" t="n">
        <f aca="false">D12+D20</f>
        <v>1280</v>
      </c>
      <c r="E23" s="14" t="n">
        <f aca="false">E12+E20</f>
        <v>3300</v>
      </c>
      <c r="F23" s="14" t="n">
        <f aca="false">F12+F20</f>
        <v>5640</v>
      </c>
      <c r="G23" s="14" t="n">
        <f aca="false">G12+G20</f>
        <v>8085</v>
      </c>
      <c r="H23" s="14" t="n">
        <f aca="false">H12+H20</f>
        <v>10500</v>
      </c>
    </row>
    <row r="24" customFormat="false" ht="15" hidden="false" customHeight="true" outlineLevel="0" collapsed="false">
      <c r="A24" s="10" t="s">
        <v>49</v>
      </c>
      <c r="B24" s="11" t="n">
        <f aca="false">B23/B6</f>
        <v>-1.65</v>
      </c>
      <c r="C24" s="11" t="n">
        <f aca="false">C23/C6</f>
        <v>-0.0339999999999998</v>
      </c>
      <c r="D24" s="11" t="n">
        <f aca="false">D23/D6</f>
        <v>0.4</v>
      </c>
      <c r="E24" s="11" t="n">
        <f aca="false">E23/E6</f>
        <v>0.44</v>
      </c>
      <c r="F24" s="11" t="n">
        <f aca="false">F23/F6</f>
        <v>0.47</v>
      </c>
      <c r="G24" s="11" t="n">
        <f aca="false">G23/G6</f>
        <v>0.49</v>
      </c>
      <c r="H24" s="11" t="n">
        <f aca="false">H23/H6</f>
        <v>0.5</v>
      </c>
    </row>
    <row r="26" customFormat="false" ht="15" hidden="false" customHeight="true" outlineLevel="0" collapsed="false">
      <c r="A26" s="6" t="s">
        <v>50</v>
      </c>
      <c r="B26" s="7"/>
      <c r="C26" s="7"/>
      <c r="D26" s="7"/>
      <c r="E26" s="7"/>
      <c r="F26" s="7"/>
      <c r="G26" s="7"/>
      <c r="H26" s="7"/>
    </row>
    <row r="27" customFormat="false" ht="15" hidden="false" customHeight="true" outlineLevel="0" collapsed="false">
      <c r="A27" s="12" t="s">
        <v>51</v>
      </c>
      <c r="B27" s="13" t="n">
        <v>0.656</v>
      </c>
      <c r="C27" s="13" t="n">
        <v>0.789</v>
      </c>
      <c r="D27" s="13" t="n">
        <v>0.55</v>
      </c>
      <c r="E27" s="13" t="n">
        <v>0.5</v>
      </c>
      <c r="F27" s="13" t="n">
        <v>0.46</v>
      </c>
      <c r="G27" s="13" t="n">
        <v>0.43</v>
      </c>
      <c r="H27" s="13" t="n">
        <v>0.4</v>
      </c>
    </row>
    <row r="28" customFormat="false" ht="15" hidden="false" customHeight="true" outlineLevel="0" collapsed="false">
      <c r="A28" s="12" t="s">
        <v>52</v>
      </c>
      <c r="B28" s="15" t="n">
        <f aca="false">-B6*B27</f>
        <v>-77.08</v>
      </c>
      <c r="C28" s="15" t="n">
        <f aca="false">-C6*C27</f>
        <v>-418.0122</v>
      </c>
      <c r="D28" s="15" t="n">
        <f aca="false">-D6*D27</f>
        <v>-1760</v>
      </c>
      <c r="E28" s="15" t="n">
        <f aca="false">-E6*E27</f>
        <v>-3750</v>
      </c>
      <c r="F28" s="15" t="n">
        <f aca="false">-F6*F27</f>
        <v>-5520</v>
      </c>
      <c r="G28" s="15" t="n">
        <f aca="false">-G6*G27</f>
        <v>-7095</v>
      </c>
      <c r="H28" s="15" t="n">
        <f aca="false">-H6*H27</f>
        <v>-8400</v>
      </c>
    </row>
    <row r="29" customFormat="false" ht="15" hidden="false" customHeight="true" outlineLevel="0" collapsed="false">
      <c r="A29" s="12" t="s">
        <v>53</v>
      </c>
      <c r="B29" s="13" t="n">
        <v>0.464</v>
      </c>
      <c r="C29" s="13" t="n">
        <v>0.157</v>
      </c>
      <c r="D29" s="13" t="n">
        <v>0.03</v>
      </c>
      <c r="E29" s="13" t="n">
        <v>0.028</v>
      </c>
      <c r="F29" s="13" t="n">
        <v>0.026</v>
      </c>
      <c r="G29" s="13" t="n">
        <v>0.025</v>
      </c>
      <c r="H29" s="13" t="n">
        <v>0.024</v>
      </c>
    </row>
    <row r="30" customFormat="false" ht="15" hidden="false" customHeight="true" outlineLevel="0" collapsed="false">
      <c r="A30" s="12" t="s">
        <v>54</v>
      </c>
      <c r="B30" s="15" t="n">
        <f aca="false">-B6*B29</f>
        <v>-54.52</v>
      </c>
      <c r="C30" s="15" t="n">
        <f aca="false">-C6*C29</f>
        <v>-83.1786</v>
      </c>
      <c r="D30" s="15" t="n">
        <f aca="false">-D6*D29</f>
        <v>-96</v>
      </c>
      <c r="E30" s="15" t="n">
        <f aca="false">-E6*E29</f>
        <v>-210</v>
      </c>
      <c r="F30" s="15" t="n">
        <f aca="false">-F6*F29</f>
        <v>-312</v>
      </c>
      <c r="G30" s="15" t="n">
        <f aca="false">-G6*G29</f>
        <v>-412.5</v>
      </c>
      <c r="H30" s="15" t="n">
        <f aca="false">-H6*H29</f>
        <v>-504</v>
      </c>
    </row>
    <row r="31" customFormat="false" ht="15" hidden="false" customHeight="true" outlineLevel="0" collapsed="false">
      <c r="A31" s="8" t="s">
        <v>55</v>
      </c>
      <c r="B31" s="14" t="n">
        <f aca="false">B23+B28+B30</f>
        <v>-325.475</v>
      </c>
      <c r="C31" s="14" t="n">
        <f aca="false">C23+C28+C30</f>
        <v>-519.204</v>
      </c>
      <c r="D31" s="14" t="n">
        <f aca="false">D23+D28+D30</f>
        <v>-576</v>
      </c>
      <c r="E31" s="14" t="n">
        <f aca="false">E23+E28+E30</f>
        <v>-660</v>
      </c>
      <c r="F31" s="14" t="n">
        <f aca="false">F23+F28+F30</f>
        <v>-192</v>
      </c>
      <c r="G31" s="14" t="n">
        <f aca="false">G23+G28+G30</f>
        <v>577.5</v>
      </c>
      <c r="H31" s="14" t="n">
        <f aca="false">H23+H28+H30</f>
        <v>1596</v>
      </c>
    </row>
    <row r="32" customFormat="false" ht="15" hidden="false" customHeight="true" outlineLevel="0" collapsed="false">
      <c r="A32" s="10" t="s">
        <v>56</v>
      </c>
      <c r="B32" s="11" t="n">
        <f aca="false">B31/B6</f>
        <v>-2.77</v>
      </c>
      <c r="C32" s="11" t="n">
        <f aca="false">C31/C6</f>
        <v>-0.98</v>
      </c>
      <c r="D32" s="11" t="n">
        <f aca="false">D31/D6</f>
        <v>-0.18</v>
      </c>
      <c r="E32" s="11" t="n">
        <f aca="false">E31/E6</f>
        <v>-0.088</v>
      </c>
      <c r="F32" s="11" t="n">
        <f aca="false">F31/F6</f>
        <v>-0.016</v>
      </c>
      <c r="G32" s="11" t="n">
        <f aca="false">G31/G6</f>
        <v>0.035</v>
      </c>
      <c r="H32" s="11" t="n">
        <f aca="false">H31/H6</f>
        <v>0.076</v>
      </c>
    </row>
    <row r="34" customFormat="false" ht="15" hidden="false" customHeight="true" outlineLevel="0" collapsed="false">
      <c r="A34" s="6" t="s">
        <v>57</v>
      </c>
      <c r="B34" s="7"/>
      <c r="C34" s="7"/>
      <c r="D34" s="7"/>
      <c r="E34" s="7"/>
      <c r="F34" s="7"/>
      <c r="G34" s="7"/>
      <c r="H34" s="7"/>
    </row>
    <row r="35" customFormat="false" ht="15" hidden="false" customHeight="true" outlineLevel="0" collapsed="false">
      <c r="A35" s="12" t="s">
        <v>58</v>
      </c>
      <c r="B35" s="24" t="n">
        <v>28.6</v>
      </c>
      <c r="C35" s="24" t="n">
        <v>18.3</v>
      </c>
      <c r="D35" s="25" t="n">
        <f aca="false">$K$2*'Balance Sheet'!C6</f>
        <v>133.409427027397</v>
      </c>
      <c r="E35" s="25" t="n">
        <f aca="false">$K$2*'Balance Sheet'!D6</f>
        <v>135.271044315822</v>
      </c>
      <c r="F35" s="25" t="n">
        <f aca="false">$K$2*'Balance Sheet'!E6</f>
        <v>248.21594182578</v>
      </c>
      <c r="G35" s="25" t="n">
        <f aca="false">$K$2*'Balance Sheet'!F6</f>
        <v>315.45130800886</v>
      </c>
      <c r="H35" s="25" t="n">
        <f aca="false">$K$2*'Balance Sheet'!G6</f>
        <v>320.196418857663</v>
      </c>
    </row>
    <row r="36" customFormat="false" ht="15" hidden="false" customHeight="true" outlineLevel="0" collapsed="false">
      <c r="A36" s="12" t="s">
        <v>59</v>
      </c>
      <c r="B36" s="24" t="n">
        <v>0</v>
      </c>
      <c r="C36" s="24" t="n">
        <v>-60</v>
      </c>
      <c r="D36" s="25" t="n">
        <f aca="false">-$K$3*'Balance Sheet'!C22</f>
        <v>-172</v>
      </c>
      <c r="E36" s="25" t="n">
        <f aca="false">-$K$3*'Balance Sheet'!D22</f>
        <v>-892</v>
      </c>
      <c r="F36" s="25" t="n">
        <f aca="false">-$K$3*'Balance Sheet'!E22</f>
        <v>-1572</v>
      </c>
      <c r="G36" s="25" t="n">
        <f aca="false">-$K$3*'Balance Sheet'!F22</f>
        <v>-1932</v>
      </c>
      <c r="H36" s="25" t="n">
        <f aca="false">-$K$3*'Balance Sheet'!G22</f>
        <v>-2032</v>
      </c>
    </row>
    <row r="37" customFormat="false" ht="15" hidden="false" customHeight="true" outlineLevel="0" collapsed="false">
      <c r="A37" s="12" t="s">
        <v>60</v>
      </c>
      <c r="B37" s="24" t="n">
        <v>0</v>
      </c>
      <c r="C37" s="24" t="n">
        <v>700</v>
      </c>
      <c r="D37" s="24" t="n">
        <v>0</v>
      </c>
      <c r="E37" s="24" t="n">
        <v>0</v>
      </c>
      <c r="F37" s="24" t="n">
        <v>0</v>
      </c>
      <c r="G37" s="24" t="n">
        <v>0</v>
      </c>
      <c r="H37" s="24" t="n">
        <v>0</v>
      </c>
    </row>
    <row r="38" customFormat="false" ht="15" hidden="false" customHeight="true" outlineLevel="0" collapsed="false">
      <c r="A38" s="8" t="s">
        <v>61</v>
      </c>
      <c r="B38" s="14" t="n">
        <f aca="false">B31+B35+B36+B37</f>
        <v>-296.875</v>
      </c>
      <c r="C38" s="14" t="n">
        <f aca="false">C31+C35+C36+C37</f>
        <v>139.096</v>
      </c>
      <c r="D38" s="14" t="n">
        <f aca="false">D31+D35+D36+D37</f>
        <v>-614.590572972603</v>
      </c>
      <c r="E38" s="14" t="n">
        <f aca="false">E31+E35+E36+E37</f>
        <v>-1416.72895568418</v>
      </c>
      <c r="F38" s="14" t="n">
        <f aca="false">F31+F35+F36+F37</f>
        <v>-1515.78405817422</v>
      </c>
      <c r="G38" s="14" t="n">
        <f aca="false">G31+G35+G36+G37</f>
        <v>-1039.04869199114</v>
      </c>
      <c r="H38" s="14" t="n">
        <f aca="false">H31+H35+H36+H37</f>
        <v>-115.803581142337</v>
      </c>
    </row>
    <row r="39" customFormat="false" ht="15" hidden="false" customHeight="true" outlineLevel="0" collapsed="false">
      <c r="A39" s="12" t="s">
        <v>62</v>
      </c>
      <c r="B39" s="13" t="n">
        <v>0</v>
      </c>
      <c r="C39" s="13" t="n">
        <v>0</v>
      </c>
      <c r="D39" s="13" t="n">
        <v>0.15</v>
      </c>
      <c r="E39" s="13" t="n">
        <v>0.15</v>
      </c>
      <c r="F39" s="13" t="n">
        <v>0.15</v>
      </c>
      <c r="G39" s="13" t="n">
        <v>0.15</v>
      </c>
      <c r="H39" s="13" t="n">
        <v>0.15</v>
      </c>
    </row>
    <row r="40" customFormat="false" ht="15" hidden="false" customHeight="true" outlineLevel="0" collapsed="false">
      <c r="A40" s="12" t="s">
        <v>63</v>
      </c>
      <c r="B40" s="15" t="n">
        <f aca="false">-MAX(0,B38)*B39</f>
        <v>-0</v>
      </c>
      <c r="C40" s="15" t="n">
        <f aca="false">-MAX(0,C38)*C39</f>
        <v>-0</v>
      </c>
      <c r="D40" s="15" t="n">
        <f aca="false">-MAX(0,D38)*D39</f>
        <v>-0</v>
      </c>
      <c r="E40" s="15" t="n">
        <f aca="false">-MAX(0,E38)*E39</f>
        <v>-0</v>
      </c>
      <c r="F40" s="15" t="n">
        <f aca="false">-MAX(0,F38)*F39</f>
        <v>-0</v>
      </c>
      <c r="G40" s="15" t="n">
        <f aca="false">-MAX(0,G38)*G39</f>
        <v>-0</v>
      </c>
      <c r="H40" s="15" t="n">
        <f aca="false">-MAX(0,H38)*H39</f>
        <v>-0</v>
      </c>
    </row>
    <row r="41" customFormat="false" ht="15" hidden="false" customHeight="true" outlineLevel="0" collapsed="false">
      <c r="A41" s="8" t="s">
        <v>64</v>
      </c>
      <c r="B41" s="14" t="n">
        <f aca="false">B38+B40</f>
        <v>-296.875</v>
      </c>
      <c r="C41" s="14" t="n">
        <f aca="false">C38+C40</f>
        <v>139.096</v>
      </c>
      <c r="D41" s="14" t="n">
        <f aca="false">D38+D40</f>
        <v>-614.590572972603</v>
      </c>
      <c r="E41" s="14" t="n">
        <f aca="false">E38+E40</f>
        <v>-1416.72895568418</v>
      </c>
      <c r="F41" s="14" t="n">
        <f aca="false">F38+F40</f>
        <v>-1515.78405817422</v>
      </c>
      <c r="G41" s="14" t="n">
        <f aca="false">G38+G40</f>
        <v>-1039.04869199114</v>
      </c>
      <c r="H41" s="14" t="n">
        <f aca="false">H38+H40</f>
        <v>-115.803581142337</v>
      </c>
    </row>
    <row r="42" customFormat="false" ht="15" hidden="false" customHeight="true" outlineLevel="0" collapsed="false">
      <c r="A42" s="10" t="s">
        <v>65</v>
      </c>
      <c r="B42" s="11" t="n">
        <f aca="false">B41/B6</f>
        <v>-2.52659574468085</v>
      </c>
      <c r="C42" s="11" t="n">
        <f aca="false">C41/C6</f>
        <v>0.262544356360891</v>
      </c>
      <c r="D42" s="11" t="n">
        <f aca="false">D41/D6</f>
        <v>-0.192059554053938</v>
      </c>
      <c r="E42" s="11" t="n">
        <f aca="false">E41/E6</f>
        <v>-0.188897194091224</v>
      </c>
      <c r="F42" s="11" t="n">
        <f aca="false">F41/F6</f>
        <v>-0.126315338181185</v>
      </c>
      <c r="G42" s="11" t="n">
        <f aca="false">G41/G6</f>
        <v>-0.062972647999463</v>
      </c>
      <c r="H42" s="11" t="n">
        <f aca="false">H41/H6</f>
        <v>-0.00551445624487317</v>
      </c>
    </row>
    <row r="44" customFormat="false" ht="15" hidden="false" customHeight="true" outlineLevel="0" collapsed="false">
      <c r="A44" s="6" t="s">
        <v>66</v>
      </c>
      <c r="B44" s="7"/>
      <c r="C44" s="7"/>
      <c r="D44" s="7"/>
      <c r="E44" s="7"/>
      <c r="F44" s="7"/>
      <c r="G44" s="7"/>
      <c r="H44" s="7"/>
    </row>
    <row r="45" customFormat="false" ht="15" hidden="false" customHeight="true" outlineLevel="0" collapsed="false">
      <c r="A45" s="12" t="s">
        <v>67</v>
      </c>
      <c r="B45" s="26" t="n">
        <v>236</v>
      </c>
      <c r="C45" s="26" t="n">
        <v>253</v>
      </c>
      <c r="D45" s="26" t="n">
        <v>265</v>
      </c>
      <c r="E45" s="26" t="n">
        <v>275</v>
      </c>
      <c r="F45" s="26" t="n">
        <v>282</v>
      </c>
      <c r="G45" s="26" t="n">
        <v>288</v>
      </c>
      <c r="H45" s="26" t="n">
        <v>292</v>
      </c>
    </row>
    <row r="46" customFormat="false" ht="15" hidden="false" customHeight="true" outlineLevel="0" collapsed="false">
      <c r="A46" s="8" t="s">
        <v>68</v>
      </c>
      <c r="B46" s="27" t="n">
        <f aca="false">B41/B45</f>
        <v>-1.25794491525424</v>
      </c>
      <c r="C46" s="27" t="n">
        <f aca="false">C41/C45</f>
        <v>0.549786561264823</v>
      </c>
      <c r="D46" s="27" t="n">
        <f aca="false">D41/D45</f>
        <v>-2.31920970933058</v>
      </c>
      <c r="E46" s="27" t="n">
        <f aca="false">E41/E45</f>
        <v>-5.15174165703338</v>
      </c>
      <c r="F46" s="27" t="n">
        <f aca="false">F41/F45</f>
        <v>-5.37512077366745</v>
      </c>
      <c r="G46" s="27" t="n">
        <f aca="false">G41/G45</f>
        <v>-3.60780795830257</v>
      </c>
      <c r="H46" s="27" t="n">
        <f aca="false">H41/H45</f>
        <v>-0.396587606651837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8" min="2" style="1" width="12.5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69</v>
      </c>
    </row>
    <row r="4" customFormat="false" ht="15" hidden="false" customHeight="tru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customFormat="false" ht="15" hidden="false" customHeight="true" outlineLevel="0" collapsed="false">
      <c r="A5" s="6" t="s">
        <v>70</v>
      </c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8" t="s">
        <v>64</v>
      </c>
      <c r="B6" s="23" t="n">
        <f aca="false">'Income Statement'!B41</f>
        <v>-296.875</v>
      </c>
      <c r="C6" s="23" t="n">
        <f aca="false">'Income Statement'!C41</f>
        <v>139.096</v>
      </c>
      <c r="D6" s="23" t="n">
        <f aca="false">'Income Statement'!D41</f>
        <v>-614.590572972603</v>
      </c>
      <c r="E6" s="23" t="n">
        <f aca="false">'Income Statement'!E41</f>
        <v>-1416.72895568418</v>
      </c>
      <c r="F6" s="23" t="n">
        <f aca="false">'Income Statement'!F41</f>
        <v>-1515.78405817422</v>
      </c>
      <c r="G6" s="23" t="n">
        <f aca="false">'Income Statement'!G41</f>
        <v>-1039.04869199114</v>
      </c>
      <c r="H6" s="23" t="n">
        <f aca="false">'Income Statement'!H41</f>
        <v>-115.803581142337</v>
      </c>
    </row>
    <row r="7" customFormat="false" ht="15" hidden="false" customHeight="true" outlineLevel="0" collapsed="false">
      <c r="A7" s="12" t="s">
        <v>71</v>
      </c>
      <c r="B7" s="25" t="n">
        <f aca="false">-'Income Statement'!B28</f>
        <v>77.08</v>
      </c>
      <c r="C7" s="25" t="n">
        <f aca="false">-'Income Statement'!C28</f>
        <v>418.0122</v>
      </c>
      <c r="D7" s="25" t="n">
        <f aca="false">-'Income Statement'!D28</f>
        <v>1760</v>
      </c>
      <c r="E7" s="25" t="n">
        <f aca="false">-'Income Statement'!E28</f>
        <v>3750</v>
      </c>
      <c r="F7" s="25" t="n">
        <f aca="false">-'Income Statement'!F28</f>
        <v>5520</v>
      </c>
      <c r="G7" s="25" t="n">
        <f aca="false">-'Income Statement'!G28</f>
        <v>7095</v>
      </c>
      <c r="H7" s="25" t="n">
        <f aca="false">-'Income Statement'!H28</f>
        <v>8400</v>
      </c>
    </row>
    <row r="8" customFormat="false" ht="15" hidden="false" customHeight="true" outlineLevel="0" collapsed="false">
      <c r="A8" s="12" t="s">
        <v>72</v>
      </c>
      <c r="B8" s="25" t="n">
        <f aca="false">-'Income Statement'!B30</f>
        <v>54.52</v>
      </c>
      <c r="C8" s="25" t="n">
        <f aca="false">-'Income Statement'!C30</f>
        <v>83.1786</v>
      </c>
      <c r="D8" s="25" t="n">
        <f aca="false">-'Income Statement'!D30</f>
        <v>96</v>
      </c>
      <c r="E8" s="25" t="n">
        <f aca="false">-'Income Statement'!E30</f>
        <v>210</v>
      </c>
      <c r="F8" s="25" t="n">
        <f aca="false">-'Income Statement'!F30</f>
        <v>312</v>
      </c>
      <c r="G8" s="25" t="n">
        <f aca="false">-'Income Statement'!G30</f>
        <v>412.5</v>
      </c>
      <c r="H8" s="25" t="n">
        <f aca="false">-'Income Statement'!H30</f>
        <v>504</v>
      </c>
    </row>
    <row r="9" customFormat="false" ht="15" hidden="false" customHeight="true" outlineLevel="0" collapsed="false">
      <c r="A9" s="12" t="s">
        <v>73</v>
      </c>
      <c r="B9" s="25" t="n">
        <f aca="false">-'Income Statement'!B37</f>
        <v>-0</v>
      </c>
      <c r="C9" s="25" t="n">
        <f aca="false">-'Income Statement'!C37</f>
        <v>-700</v>
      </c>
      <c r="D9" s="25" t="n">
        <f aca="false">-'Income Statement'!D37</f>
        <v>-0</v>
      </c>
      <c r="E9" s="25" t="n">
        <f aca="false">-'Income Statement'!E37</f>
        <v>-0</v>
      </c>
      <c r="F9" s="25" t="n">
        <f aca="false">-'Income Statement'!F37</f>
        <v>-0</v>
      </c>
      <c r="G9" s="25" t="n">
        <f aca="false">-'Income Statement'!G37</f>
        <v>-0</v>
      </c>
      <c r="H9" s="25" t="n">
        <f aca="false">-'Income Statement'!H37</f>
        <v>-0</v>
      </c>
    </row>
    <row r="10" customFormat="false" ht="15" hidden="false" customHeight="true" outlineLevel="0" collapsed="false">
      <c r="A10" s="12" t="s">
        <v>74</v>
      </c>
      <c r="B10" s="15" t="n">
        <v>0</v>
      </c>
      <c r="C10" s="25" t="n">
        <f aca="false">-('Balance Sheet'!C8-'Balance Sheet'!B8)</f>
        <v>-46.0027397260274</v>
      </c>
      <c r="D10" s="25" t="n">
        <f aca="false">-('Balance Sheet'!D8-'Balance Sheet'!C8)</f>
        <v>-329.202739726027</v>
      </c>
      <c r="E10" s="25" t="n">
        <f aca="false">-('Balance Sheet'!E8-'Balance Sheet'!D8)</f>
        <v>-530.13698630137</v>
      </c>
      <c r="F10" s="25" t="n">
        <f aca="false">-('Balance Sheet'!F8-'Balance Sheet'!E8)</f>
        <v>-554.794520547945</v>
      </c>
      <c r="G10" s="25" t="n">
        <f aca="false">-('Balance Sheet'!G8-'Balance Sheet'!F8)</f>
        <v>-554.794520547945</v>
      </c>
      <c r="H10" s="25" t="n">
        <f aca="false">-('Balance Sheet'!H8-'Balance Sheet'!G8)</f>
        <v>-554.794520547945</v>
      </c>
    </row>
    <row r="11" customFormat="false" ht="15" hidden="false" customHeight="true" outlineLevel="0" collapsed="false">
      <c r="A11" s="12" t="s">
        <v>75</v>
      </c>
      <c r="B11" s="15" t="n">
        <v>0</v>
      </c>
      <c r="C11" s="25" t="n">
        <f aca="false">('Balance Sheet'!C19-'Balance Sheet'!B19)</f>
        <v>17.6888547945205</v>
      </c>
      <c r="D11" s="25" t="n">
        <f aca="false">('Balance Sheet'!D19-'Balance Sheet'!C19)</f>
        <v>140.982378082192</v>
      </c>
      <c r="E11" s="25" t="n">
        <f aca="false">('Balance Sheet'!E19-'Balance Sheet'!D19)</f>
        <v>213.86301369863</v>
      </c>
      <c r="F11" s="25" t="n">
        <f aca="false">('Balance Sheet'!F19-'Balance Sheet'!E19)</f>
        <v>209.58904109589</v>
      </c>
      <c r="G11" s="25" t="n">
        <f aca="false">('Balance Sheet'!G19-'Balance Sheet'!F19)</f>
        <v>221.917808219178</v>
      </c>
      <c r="H11" s="25" t="n">
        <f aca="false">('Balance Sheet'!H19-'Balance Sheet'!G19)</f>
        <v>221.917808219178</v>
      </c>
    </row>
    <row r="12" customFormat="false" ht="15" hidden="false" customHeight="true" outlineLevel="0" collapsed="false">
      <c r="A12" s="12" t="s">
        <v>76</v>
      </c>
      <c r="B12" s="15" t="n">
        <v>0</v>
      </c>
      <c r="C12" s="25" t="n">
        <f aca="false">('Balance Sheet'!C20-'Balance Sheet'!B20)</f>
        <v>800</v>
      </c>
      <c r="D12" s="25" t="n">
        <f aca="false">('Balance Sheet'!D20-'Balance Sheet'!C20)</f>
        <v>3000</v>
      </c>
      <c r="E12" s="25" t="n">
        <f aca="false">('Balance Sheet'!E20-'Balance Sheet'!D20)</f>
        <v>2000</v>
      </c>
      <c r="F12" s="25" t="n">
        <f aca="false">('Balance Sheet'!F20-'Balance Sheet'!E20)</f>
        <v>1000</v>
      </c>
      <c r="G12" s="25" t="n">
        <f aca="false">('Balance Sheet'!G20-'Balance Sheet'!F20)</f>
        <v>500</v>
      </c>
      <c r="H12" s="25" t="n">
        <f aca="false">('Balance Sheet'!H20-'Balance Sheet'!G20)</f>
        <v>0</v>
      </c>
    </row>
    <row r="13" customFormat="false" ht="15" hidden="false" customHeight="true" outlineLevel="0" collapsed="false">
      <c r="A13" s="8" t="s">
        <v>77</v>
      </c>
      <c r="B13" s="14" t="n">
        <f aca="false">SUM(B6:B12)</f>
        <v>-165.275</v>
      </c>
      <c r="C13" s="14" t="n">
        <f aca="false">SUM(C6:C12)</f>
        <v>711.972915068493</v>
      </c>
      <c r="D13" s="14" t="n">
        <f aca="false">SUM(D6:D12)</f>
        <v>4053.18906538356</v>
      </c>
      <c r="E13" s="14" t="n">
        <f aca="false">SUM(E6:E12)</f>
        <v>4226.99707171308</v>
      </c>
      <c r="F13" s="14" t="n">
        <f aca="false">SUM(F6:F12)</f>
        <v>4971.01046237373</v>
      </c>
      <c r="G13" s="14" t="n">
        <f aca="false">SUM(G6:G12)</f>
        <v>6635.57459568009</v>
      </c>
      <c r="H13" s="14" t="n">
        <f aca="false">SUM(H6:H12)</f>
        <v>8455.3197065289</v>
      </c>
    </row>
    <row r="15" customFormat="false" ht="15" hidden="false" customHeight="true" outlineLevel="0" collapsed="false">
      <c r="A15" s="6" t="s">
        <v>78</v>
      </c>
      <c r="B15" s="7"/>
      <c r="C15" s="7"/>
      <c r="D15" s="7"/>
      <c r="E15" s="7"/>
      <c r="F15" s="7"/>
      <c r="G15" s="7"/>
      <c r="H15" s="7"/>
    </row>
    <row r="16" customFormat="false" ht="15" hidden="false" customHeight="true" outlineLevel="0" collapsed="false">
      <c r="A16" s="12" t="s">
        <v>79</v>
      </c>
      <c r="B16" s="24" t="n">
        <v>-800</v>
      </c>
      <c r="C16" s="24" t="n">
        <v>-4000</v>
      </c>
      <c r="D16" s="24" t="n">
        <v>-22500</v>
      </c>
      <c r="E16" s="24" t="n">
        <v>-18000</v>
      </c>
      <c r="F16" s="24" t="n">
        <v>-12000</v>
      </c>
      <c r="G16" s="24" t="n">
        <v>-9000</v>
      </c>
      <c r="H16" s="24" t="n">
        <v>-8000</v>
      </c>
    </row>
    <row r="17" customFormat="false" ht="15" hidden="false" customHeight="true" outlineLevel="0" collapsed="false">
      <c r="A17" s="12" t="s">
        <v>80</v>
      </c>
      <c r="B17" s="24" t="n">
        <v>0</v>
      </c>
      <c r="C17" s="24" t="n">
        <v>-100</v>
      </c>
      <c r="D17" s="24" t="n">
        <v>-1200</v>
      </c>
      <c r="E17" s="24" t="n">
        <v>-300</v>
      </c>
      <c r="F17" s="24" t="n">
        <v>-200</v>
      </c>
      <c r="G17" s="24" t="n">
        <v>-100</v>
      </c>
      <c r="H17" s="24" t="n">
        <v>-100</v>
      </c>
    </row>
    <row r="18" customFormat="false" ht="15" hidden="false" customHeight="true" outlineLevel="0" collapsed="false">
      <c r="A18" s="12" t="s">
        <v>81</v>
      </c>
      <c r="B18" s="24" t="n">
        <v>0</v>
      </c>
      <c r="C18" s="24" t="n">
        <v>-200</v>
      </c>
      <c r="D18" s="24" t="n">
        <v>-300</v>
      </c>
      <c r="E18" s="24" t="n">
        <v>-200</v>
      </c>
      <c r="F18" s="24" t="n">
        <v>-150</v>
      </c>
      <c r="G18" s="24" t="n">
        <v>-100</v>
      </c>
      <c r="H18" s="24" t="n">
        <v>-100</v>
      </c>
    </row>
    <row r="19" customFormat="false" ht="15" hidden="false" customHeight="true" outlineLevel="0" collapsed="false">
      <c r="A19" s="8" t="s">
        <v>82</v>
      </c>
      <c r="B19" s="14" t="n">
        <f aca="false">B16+B17+B18</f>
        <v>-800</v>
      </c>
      <c r="C19" s="14" t="n">
        <f aca="false">C16+C17+C18</f>
        <v>-4300</v>
      </c>
      <c r="D19" s="14" t="n">
        <f aca="false">D16+D17+D18</f>
        <v>-24000</v>
      </c>
      <c r="E19" s="14" t="n">
        <f aca="false">E16+E17+E18</f>
        <v>-18500</v>
      </c>
      <c r="F19" s="14" t="n">
        <f aca="false">F16+F17+F18</f>
        <v>-12350</v>
      </c>
      <c r="G19" s="14" t="n">
        <f aca="false">G16+G17+G18</f>
        <v>-9200</v>
      </c>
      <c r="H19" s="14" t="n">
        <f aca="false">H16+H17+H18</f>
        <v>-8200</v>
      </c>
    </row>
    <row r="21" customFormat="false" ht="15" hidden="false" customHeight="true" outlineLevel="0" collapsed="false">
      <c r="A21" s="28" t="s">
        <v>83</v>
      </c>
      <c r="B21" s="29" t="n">
        <f aca="false">B13+B16</f>
        <v>-965.275</v>
      </c>
      <c r="C21" s="29" t="n">
        <f aca="false">C13+C16</f>
        <v>-3288.02708493151</v>
      </c>
      <c r="D21" s="29" t="n">
        <f aca="false">D13+D16</f>
        <v>-18446.8109346164</v>
      </c>
      <c r="E21" s="29" t="n">
        <f aca="false">E13+E16</f>
        <v>-13773.0029282869</v>
      </c>
      <c r="F21" s="29" t="n">
        <f aca="false">F13+F16</f>
        <v>-7028.98953762628</v>
      </c>
      <c r="G21" s="29" t="n">
        <f aca="false">G13+G16</f>
        <v>-2364.42540431991</v>
      </c>
      <c r="H21" s="29" t="n">
        <f aca="false">H13+H16</f>
        <v>455.319706528897</v>
      </c>
    </row>
    <row r="22" customFormat="false" ht="15" hidden="false" customHeight="true" outlineLevel="0" collapsed="false">
      <c r="A22" s="10" t="s">
        <v>84</v>
      </c>
      <c r="B22" s="11" t="n">
        <f aca="false">B21/'Income Statement'!B6</f>
        <v>-8.21510638297872</v>
      </c>
      <c r="C22" s="11" t="n">
        <f aca="false">C21/'Income Statement'!C6</f>
        <v>-6.20616663822482</v>
      </c>
      <c r="D22" s="11" t="n">
        <f aca="false">D21/'Income Statement'!D6</f>
        <v>-5.76462841706764</v>
      </c>
      <c r="E22" s="11" t="n">
        <f aca="false">E21/'Income Statement'!E6</f>
        <v>-1.83640039043826</v>
      </c>
      <c r="F22" s="11" t="n">
        <f aca="false">F21/'Income Statement'!F6</f>
        <v>-0.585749128135523</v>
      </c>
      <c r="G22" s="11" t="n">
        <f aca="false">G21/'Income Statement'!G6</f>
        <v>-0.143298509352722</v>
      </c>
      <c r="H22" s="11" t="n">
        <f aca="false">H21/'Income Statement'!H6</f>
        <v>0.0216818907870903</v>
      </c>
    </row>
    <row r="24" customFormat="false" ht="15" hidden="false" customHeight="true" outlineLevel="0" collapsed="false">
      <c r="A24" s="6" t="s">
        <v>85</v>
      </c>
      <c r="B24" s="7"/>
      <c r="C24" s="7"/>
      <c r="D24" s="7"/>
      <c r="E24" s="7"/>
      <c r="F24" s="7"/>
      <c r="G24" s="7"/>
      <c r="H24" s="7"/>
    </row>
    <row r="25" customFormat="false" ht="15" hidden="false" customHeight="true" outlineLevel="0" collapsed="false">
      <c r="A25" s="12" t="s">
        <v>86</v>
      </c>
      <c r="B25" s="24" t="n">
        <v>0</v>
      </c>
      <c r="C25" s="24" t="n">
        <v>4300</v>
      </c>
      <c r="D25" s="24" t="n">
        <v>18000</v>
      </c>
      <c r="E25" s="24" t="n">
        <v>17000</v>
      </c>
      <c r="F25" s="24" t="n">
        <v>9000</v>
      </c>
      <c r="G25" s="24" t="n">
        <v>2500</v>
      </c>
      <c r="H25" s="24" t="n">
        <v>0</v>
      </c>
    </row>
    <row r="26" customFormat="false" ht="15" hidden="false" customHeight="true" outlineLevel="0" collapsed="false">
      <c r="A26" s="12" t="s">
        <v>87</v>
      </c>
      <c r="B26" s="24" t="n">
        <v>700</v>
      </c>
      <c r="C26" s="24" t="n">
        <v>700</v>
      </c>
      <c r="D26" s="24" t="n">
        <v>2000</v>
      </c>
      <c r="E26" s="24" t="n">
        <v>500</v>
      </c>
      <c r="F26" s="24" t="n">
        <v>300</v>
      </c>
      <c r="G26" s="24" t="n">
        <v>200</v>
      </c>
      <c r="H26" s="24" t="n">
        <v>200</v>
      </c>
    </row>
    <row r="27" customFormat="false" ht="15" hidden="false" customHeight="true" outlineLevel="0" collapsed="false">
      <c r="A27" s="8" t="s">
        <v>88</v>
      </c>
      <c r="B27" s="14" t="n">
        <f aca="false">B25+B26</f>
        <v>700</v>
      </c>
      <c r="C27" s="14" t="n">
        <f aca="false">C25+C26</f>
        <v>5000</v>
      </c>
      <c r="D27" s="14" t="n">
        <f aca="false">D25+D26</f>
        <v>20000</v>
      </c>
      <c r="E27" s="14" t="n">
        <f aca="false">E25+E26</f>
        <v>17500</v>
      </c>
      <c r="F27" s="14" t="n">
        <f aca="false">F25+F26</f>
        <v>9300</v>
      </c>
      <c r="G27" s="14" t="n">
        <f aca="false">G25+G26</f>
        <v>2700</v>
      </c>
      <c r="H27" s="14" t="n">
        <f aca="false">H25+H26</f>
        <v>200</v>
      </c>
    </row>
    <row r="29" customFormat="false" ht="15" hidden="false" customHeight="true" outlineLevel="0" collapsed="false">
      <c r="A29" s="8" t="s">
        <v>89</v>
      </c>
      <c r="B29" s="14" t="n">
        <f aca="false">B13+B19+B27</f>
        <v>-265.275</v>
      </c>
      <c r="C29" s="14" t="n">
        <f aca="false">C13+C19+C27</f>
        <v>1411.97291506849</v>
      </c>
      <c r="D29" s="14" t="n">
        <f aca="false">D13+D19+D27</f>
        <v>53.1890653835617</v>
      </c>
      <c r="E29" s="14" t="n">
        <f aca="false">E13+E19+E27</f>
        <v>3226.99707171308</v>
      </c>
      <c r="F29" s="14" t="n">
        <f aca="false">F13+F19+F27</f>
        <v>1921.01046237373</v>
      </c>
      <c r="G29" s="14" t="n">
        <f aca="false">G13+G19+G27</f>
        <v>135.574595680093</v>
      </c>
      <c r="H29" s="14" t="n">
        <f aca="false">H13+H19+H27</f>
        <v>455.319706528897</v>
      </c>
    </row>
    <row r="30" customFormat="false" ht="15" hidden="false" customHeight="true" outlineLevel="0" collapsed="false">
      <c r="A30" s="12" t="s">
        <v>90</v>
      </c>
      <c r="B30" s="24" t="n">
        <v>2665</v>
      </c>
      <c r="C30" s="15" t="n">
        <f aca="false">B31</f>
        <v>2399.725</v>
      </c>
      <c r="D30" s="15" t="n">
        <f aca="false">C31</f>
        <v>3811.69791506849</v>
      </c>
      <c r="E30" s="15" t="n">
        <f aca="false">D31</f>
        <v>3864.88698045206</v>
      </c>
      <c r="F30" s="15" t="n">
        <f aca="false">E31</f>
        <v>7091.88405216514</v>
      </c>
      <c r="G30" s="15" t="n">
        <f aca="false">F31</f>
        <v>9012.89451453886</v>
      </c>
      <c r="H30" s="15" t="n">
        <f aca="false">G31</f>
        <v>9148.46911021895</v>
      </c>
    </row>
    <row r="31" customFormat="false" ht="15" hidden="false" customHeight="true" outlineLevel="0" collapsed="false">
      <c r="A31" s="8" t="s">
        <v>91</v>
      </c>
      <c r="B31" s="14" t="n">
        <f aca="false">B30+B29</f>
        <v>2399.725</v>
      </c>
      <c r="C31" s="14" t="n">
        <f aca="false">C30+C29</f>
        <v>3811.69791506849</v>
      </c>
      <c r="D31" s="14" t="n">
        <f aca="false">D30+D29</f>
        <v>3864.88698045206</v>
      </c>
      <c r="E31" s="14" t="n">
        <f aca="false">E30+E29</f>
        <v>7091.88405216514</v>
      </c>
      <c r="F31" s="14" t="n">
        <f aca="false">F30+F29</f>
        <v>9012.89451453886</v>
      </c>
      <c r="G31" s="14" t="n">
        <f aca="false">G30+G29</f>
        <v>9148.46911021895</v>
      </c>
      <c r="H31" s="14" t="n">
        <f aca="false">H30+H29</f>
        <v>9603.78881674785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8" min="2" style="1" width="12.5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92</v>
      </c>
    </row>
    <row r="4" customFormat="false" ht="15" hidden="false" customHeight="tru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customFormat="false" ht="15" hidden="false" customHeight="true" outlineLevel="0" collapsed="false">
      <c r="A5" s="6" t="s">
        <v>93</v>
      </c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8" t="s">
        <v>94</v>
      </c>
      <c r="B6" s="23" t="n">
        <f aca="false">'Cash Flow Statement'!B31</f>
        <v>2399.725</v>
      </c>
      <c r="C6" s="23" t="n">
        <f aca="false">'Cash Flow Statement'!C31</f>
        <v>3811.69791506849</v>
      </c>
      <c r="D6" s="23" t="n">
        <f aca="false">'Cash Flow Statement'!D31</f>
        <v>3864.88698045206</v>
      </c>
      <c r="E6" s="23" t="n">
        <f aca="false">'Cash Flow Statement'!E31</f>
        <v>7091.88405216514</v>
      </c>
      <c r="F6" s="23" t="n">
        <f aca="false">'Cash Flow Statement'!F31</f>
        <v>9012.89451453886</v>
      </c>
      <c r="G6" s="23" t="n">
        <f aca="false">'Cash Flow Statement'!G31</f>
        <v>9148.46911021895</v>
      </c>
      <c r="H6" s="23" t="n">
        <f aca="false">'Cash Flow Statement'!H31</f>
        <v>9603.78881674785</v>
      </c>
    </row>
    <row r="7" customFormat="false" ht="15" hidden="false" customHeight="true" outlineLevel="0" collapsed="false">
      <c r="A7" s="12" t="s">
        <v>95</v>
      </c>
      <c r="B7" s="26" t="n">
        <v>60</v>
      </c>
      <c r="C7" s="26" t="n">
        <v>45</v>
      </c>
      <c r="D7" s="26" t="n">
        <v>45</v>
      </c>
      <c r="E7" s="26" t="n">
        <v>45</v>
      </c>
      <c r="F7" s="26" t="n">
        <v>45</v>
      </c>
      <c r="G7" s="26" t="n">
        <v>45</v>
      </c>
      <c r="H7" s="26" t="n">
        <v>45</v>
      </c>
    </row>
    <row r="8" customFormat="false" ht="15" hidden="false" customHeight="true" outlineLevel="0" collapsed="false">
      <c r="A8" s="12" t="s">
        <v>96</v>
      </c>
      <c r="B8" s="25" t="n">
        <f aca="false">'Income Statement'!B6*B7/365</f>
        <v>19.3150684931507</v>
      </c>
      <c r="C8" s="25" t="n">
        <f aca="false">'Income Statement'!C6*C7/365</f>
        <v>65.3178082191781</v>
      </c>
      <c r="D8" s="25" t="n">
        <f aca="false">'Income Statement'!D6*D7/365</f>
        <v>394.520547945205</v>
      </c>
      <c r="E8" s="25" t="n">
        <f aca="false">'Income Statement'!E6*E7/365</f>
        <v>924.657534246575</v>
      </c>
      <c r="F8" s="25" t="n">
        <f aca="false">'Income Statement'!F6*F7/365</f>
        <v>1479.45205479452</v>
      </c>
      <c r="G8" s="25" t="n">
        <f aca="false">'Income Statement'!G6*G7/365</f>
        <v>2034.24657534247</v>
      </c>
      <c r="H8" s="25" t="n">
        <f aca="false">'Income Statement'!H6*H7/365</f>
        <v>2589.04109589041</v>
      </c>
    </row>
    <row r="9" customFormat="false" ht="15" hidden="false" customHeight="true" outlineLevel="0" collapsed="false">
      <c r="A9" s="12" t="s">
        <v>97</v>
      </c>
      <c r="B9" s="24" t="n">
        <v>150</v>
      </c>
      <c r="C9" s="24" t="n">
        <v>150</v>
      </c>
      <c r="D9" s="24" t="n">
        <v>150</v>
      </c>
      <c r="E9" s="24" t="n">
        <v>150</v>
      </c>
      <c r="F9" s="24" t="n">
        <v>150</v>
      </c>
      <c r="G9" s="24" t="n">
        <v>150</v>
      </c>
      <c r="H9" s="24" t="n">
        <v>150</v>
      </c>
    </row>
    <row r="10" customFormat="false" ht="15" hidden="false" customHeight="true" outlineLevel="0" collapsed="false">
      <c r="A10" s="8" t="s">
        <v>98</v>
      </c>
      <c r="B10" s="14" t="n">
        <f aca="false">B6+B8+B9</f>
        <v>2569.04006849315</v>
      </c>
      <c r="C10" s="14" t="n">
        <f aca="false">C6+C8+C9</f>
        <v>4027.01572328767</v>
      </c>
      <c r="D10" s="14" t="n">
        <f aca="false">D6+D8+D9</f>
        <v>4409.40752839726</v>
      </c>
      <c r="E10" s="14" t="n">
        <f aca="false">E6+E8+E9</f>
        <v>8166.54158641171</v>
      </c>
      <c r="F10" s="14" t="n">
        <f aca="false">F6+F8+F9</f>
        <v>10642.3465693334</v>
      </c>
      <c r="G10" s="14" t="n">
        <f aca="false">G6+G8+G9</f>
        <v>11332.7156855614</v>
      </c>
      <c r="H10" s="14" t="n">
        <f aca="false">H6+H8+H9</f>
        <v>12342.8299126383</v>
      </c>
    </row>
    <row r="11" customFormat="false" ht="15" hidden="false" customHeight="true" outlineLevel="0" collapsed="false">
      <c r="A11" s="8" t="s">
        <v>99</v>
      </c>
      <c r="B11" s="24" t="n">
        <v>4100</v>
      </c>
      <c r="C11" s="15" t="n">
        <f aca="false">B11-'Cash Flow Statement'!C16+'Income Statement'!C28</f>
        <v>7681.9878</v>
      </c>
      <c r="D11" s="15" t="n">
        <f aca="false">C11-'Cash Flow Statement'!D16+'Income Statement'!D28</f>
        <v>28421.9878</v>
      </c>
      <c r="E11" s="15" t="n">
        <f aca="false">D11-'Cash Flow Statement'!E16+'Income Statement'!E28</f>
        <v>42671.9878</v>
      </c>
      <c r="F11" s="15" t="n">
        <f aca="false">E11-'Cash Flow Statement'!F16+'Income Statement'!F28</f>
        <v>49151.9878</v>
      </c>
      <c r="G11" s="15" t="n">
        <f aca="false">F11-'Cash Flow Statement'!G16+'Income Statement'!G28</f>
        <v>51056.9878</v>
      </c>
      <c r="H11" s="15" t="n">
        <f aca="false">G11-'Cash Flow Statement'!H16+'Income Statement'!H28</f>
        <v>50656.9878</v>
      </c>
    </row>
    <row r="12" customFormat="false" ht="15" hidden="false" customHeight="true" outlineLevel="0" collapsed="false">
      <c r="A12" s="12" t="s">
        <v>100</v>
      </c>
      <c r="B12" s="24" t="n">
        <v>1400</v>
      </c>
      <c r="C12" s="15" t="n">
        <f aca="false">B12-'Cash Flow Statement'!C18+'Income Statement'!C37</f>
        <v>2300</v>
      </c>
      <c r="D12" s="15" t="n">
        <f aca="false">C12-'Cash Flow Statement'!D18+'Income Statement'!D37</f>
        <v>2600</v>
      </c>
      <c r="E12" s="15" t="n">
        <f aca="false">D12-'Cash Flow Statement'!E18+'Income Statement'!E37</f>
        <v>2800</v>
      </c>
      <c r="F12" s="15" t="n">
        <f aca="false">E12-'Cash Flow Statement'!F18+'Income Statement'!F37</f>
        <v>2950</v>
      </c>
      <c r="G12" s="15" t="n">
        <f aca="false">F12-'Cash Flow Statement'!G18+'Income Statement'!G37</f>
        <v>3050</v>
      </c>
      <c r="H12" s="15" t="n">
        <f aca="false">G12-'Cash Flow Statement'!H18+'Income Statement'!H37</f>
        <v>3150</v>
      </c>
    </row>
    <row r="13" customFormat="false" ht="15" hidden="false" customHeight="true" outlineLevel="0" collapsed="false">
      <c r="A13" s="12" t="s">
        <v>101</v>
      </c>
      <c r="B13" s="24" t="n">
        <v>300</v>
      </c>
      <c r="C13" s="15" t="n">
        <f aca="false">B13-'Cash Flow Statement'!C17</f>
        <v>400</v>
      </c>
      <c r="D13" s="15" t="n">
        <f aca="false">C13-'Cash Flow Statement'!D17</f>
        <v>1600</v>
      </c>
      <c r="E13" s="15" t="n">
        <f aca="false">D13-'Cash Flow Statement'!E17</f>
        <v>1900</v>
      </c>
      <c r="F13" s="15" t="n">
        <f aca="false">E13-'Cash Flow Statement'!F17</f>
        <v>2100</v>
      </c>
      <c r="G13" s="15" t="n">
        <f aca="false">F13-'Cash Flow Statement'!G17</f>
        <v>2200</v>
      </c>
      <c r="H13" s="15" t="n">
        <f aca="false">G13-'Cash Flow Statement'!H17</f>
        <v>2300</v>
      </c>
    </row>
    <row r="14" customFormat="false" ht="15" hidden="false" customHeight="true" outlineLevel="0" collapsed="false">
      <c r="A14" s="8" t="s">
        <v>102</v>
      </c>
      <c r="B14" s="14" t="n">
        <f aca="false">B11+B12+B13</f>
        <v>5800</v>
      </c>
      <c r="C14" s="14" t="n">
        <f aca="false">C11+C12+C13</f>
        <v>10381.9878</v>
      </c>
      <c r="D14" s="14" t="n">
        <f aca="false">D11+D12+D13</f>
        <v>32621.9878</v>
      </c>
      <c r="E14" s="14" t="n">
        <f aca="false">E11+E12+E13</f>
        <v>47371.9878</v>
      </c>
      <c r="F14" s="14" t="n">
        <f aca="false">F11+F12+F13</f>
        <v>54201.9878</v>
      </c>
      <c r="G14" s="14" t="n">
        <f aca="false">G11+G12+G13</f>
        <v>56306.9878</v>
      </c>
      <c r="H14" s="14" t="n">
        <f aca="false">H11+H12+H13</f>
        <v>56106.9878</v>
      </c>
    </row>
    <row r="15" customFormat="false" ht="15" hidden="false" customHeight="true" outlineLevel="0" collapsed="false">
      <c r="A15" s="8" t="s">
        <v>103</v>
      </c>
      <c r="B15" s="30" t="n">
        <f aca="false">B10+B14</f>
        <v>8369.04006849315</v>
      </c>
      <c r="C15" s="30" t="n">
        <f aca="false">C10+C14</f>
        <v>14409.0035232877</v>
      </c>
      <c r="D15" s="30" t="n">
        <f aca="false">D10+D14</f>
        <v>37031.3953283973</v>
      </c>
      <c r="E15" s="30" t="n">
        <f aca="false">E10+E14</f>
        <v>55538.5293864117</v>
      </c>
      <c r="F15" s="30" t="n">
        <f aca="false">F10+F14</f>
        <v>64844.3343693334</v>
      </c>
      <c r="G15" s="30" t="n">
        <f aca="false">G10+G14</f>
        <v>67639.7034855614</v>
      </c>
      <c r="H15" s="30" t="n">
        <f aca="false">H10+H14</f>
        <v>68449.8177126383</v>
      </c>
    </row>
    <row r="17" customFormat="false" ht="15" hidden="false" customHeight="true" outlineLevel="0" collapsed="false">
      <c r="A17" s="6" t="s">
        <v>104</v>
      </c>
      <c r="B17" s="7"/>
      <c r="C17" s="7"/>
      <c r="D17" s="7"/>
      <c r="E17" s="7"/>
      <c r="F17" s="7"/>
      <c r="G17" s="7"/>
      <c r="H17" s="7"/>
    </row>
    <row r="18" customFormat="false" ht="15" hidden="false" customHeight="true" outlineLevel="0" collapsed="false">
      <c r="A18" s="12" t="s">
        <v>105</v>
      </c>
      <c r="B18" s="26" t="n">
        <v>60</v>
      </c>
      <c r="C18" s="26" t="n">
        <v>60</v>
      </c>
      <c r="D18" s="26" t="n">
        <v>60</v>
      </c>
      <c r="E18" s="26" t="n">
        <v>60</v>
      </c>
      <c r="F18" s="26" t="n">
        <v>60</v>
      </c>
      <c r="G18" s="26" t="n">
        <v>60</v>
      </c>
      <c r="H18" s="26" t="n">
        <v>60</v>
      </c>
    </row>
    <row r="19" customFormat="false" ht="15" hidden="false" customHeight="true" outlineLevel="0" collapsed="false">
      <c r="A19" s="12" t="s">
        <v>106</v>
      </c>
      <c r="B19" s="25" t="n">
        <f aca="false">-'Income Statement'!B11*B18/365</f>
        <v>9.65753424657534</v>
      </c>
      <c r="C19" s="25" t="n">
        <f aca="false">-'Income Statement'!C11*C18/365</f>
        <v>27.3463890410959</v>
      </c>
      <c r="D19" s="25" t="n">
        <f aca="false">-'Income Statement'!D11*D18/365</f>
        <v>168.328767123288</v>
      </c>
      <c r="E19" s="25" t="n">
        <f aca="false">-'Income Statement'!E11*E18/365</f>
        <v>382.191780821918</v>
      </c>
      <c r="F19" s="25" t="n">
        <f aca="false">-'Income Statement'!F11*F18/365</f>
        <v>591.780821917808</v>
      </c>
      <c r="G19" s="25" t="n">
        <f aca="false">-'Income Statement'!G11*G18/365</f>
        <v>813.698630136987</v>
      </c>
      <c r="H19" s="25" t="n">
        <f aca="false">-'Income Statement'!H11*H18/365</f>
        <v>1035.61643835616</v>
      </c>
    </row>
    <row r="20" customFormat="false" ht="15" hidden="false" customHeight="true" outlineLevel="0" collapsed="false">
      <c r="A20" s="12" t="s">
        <v>107</v>
      </c>
      <c r="B20" s="24" t="n">
        <v>200</v>
      </c>
      <c r="C20" s="24" t="n">
        <v>1000</v>
      </c>
      <c r="D20" s="24" t="n">
        <v>4000</v>
      </c>
      <c r="E20" s="24" t="n">
        <v>6000</v>
      </c>
      <c r="F20" s="24" t="n">
        <v>7000</v>
      </c>
      <c r="G20" s="24" t="n">
        <v>7500</v>
      </c>
      <c r="H20" s="24" t="n">
        <v>7500</v>
      </c>
    </row>
    <row r="21" customFormat="false" ht="15" hidden="false" customHeight="true" outlineLevel="0" collapsed="false">
      <c r="A21" s="8" t="s">
        <v>108</v>
      </c>
      <c r="B21" s="14" t="n">
        <f aca="false">B19+B20</f>
        <v>209.657534246575</v>
      </c>
      <c r="C21" s="14" t="n">
        <f aca="false">C19+C20</f>
        <v>1027.3463890411</v>
      </c>
      <c r="D21" s="14" t="n">
        <f aca="false">D19+D20</f>
        <v>4168.32876712329</v>
      </c>
      <c r="E21" s="14" t="n">
        <f aca="false">E19+E20</f>
        <v>6382.19178082192</v>
      </c>
      <c r="F21" s="14" t="n">
        <f aca="false">F19+F20</f>
        <v>7591.78082191781</v>
      </c>
      <c r="G21" s="14" t="n">
        <f aca="false">G19+G20</f>
        <v>8313.69863013699</v>
      </c>
      <c r="H21" s="14" t="n">
        <f aca="false">H19+H20</f>
        <v>8535.61643835617</v>
      </c>
    </row>
    <row r="22" customFormat="false" ht="15" hidden="false" customHeight="true" outlineLevel="0" collapsed="false">
      <c r="A22" s="8" t="s">
        <v>109</v>
      </c>
      <c r="B22" s="24" t="n">
        <v>0</v>
      </c>
      <c r="C22" s="15" t="n">
        <f aca="false">B22+'Cash Flow Statement'!C25</f>
        <v>4300</v>
      </c>
      <c r="D22" s="15" t="n">
        <f aca="false">C22+'Cash Flow Statement'!D25</f>
        <v>22300</v>
      </c>
      <c r="E22" s="15" t="n">
        <f aca="false">D22+'Cash Flow Statement'!E25</f>
        <v>39300</v>
      </c>
      <c r="F22" s="15" t="n">
        <f aca="false">E22+'Cash Flow Statement'!F25</f>
        <v>48300</v>
      </c>
      <c r="G22" s="15" t="n">
        <f aca="false">F22+'Cash Flow Statement'!G25</f>
        <v>50800</v>
      </c>
      <c r="H22" s="15" t="n">
        <f aca="false">G22+'Cash Flow Statement'!H25</f>
        <v>50800</v>
      </c>
    </row>
    <row r="23" customFormat="false" ht="15" hidden="false" customHeight="true" outlineLevel="0" collapsed="false">
      <c r="A23" s="12" t="s">
        <v>110</v>
      </c>
      <c r="B23" s="24" t="n">
        <v>100</v>
      </c>
      <c r="C23" s="24" t="n">
        <v>100</v>
      </c>
      <c r="D23" s="24" t="n">
        <v>100</v>
      </c>
      <c r="E23" s="24" t="n">
        <v>100</v>
      </c>
      <c r="F23" s="24" t="n">
        <v>100</v>
      </c>
      <c r="G23" s="24" t="n">
        <v>100</v>
      </c>
      <c r="H23" s="24" t="n">
        <v>100</v>
      </c>
    </row>
    <row r="24" customFormat="false" ht="15" hidden="false" customHeight="true" outlineLevel="0" collapsed="false">
      <c r="A24" s="8" t="s">
        <v>111</v>
      </c>
      <c r="B24" s="14" t="n">
        <f aca="false">B21+B22+B23</f>
        <v>309.657534246575</v>
      </c>
      <c r="C24" s="14" t="n">
        <f aca="false">C21+C22+C23</f>
        <v>5427.3463890411</v>
      </c>
      <c r="D24" s="14" t="n">
        <f aca="false">D21+D22+D23</f>
        <v>26568.3287671233</v>
      </c>
      <c r="E24" s="14" t="n">
        <f aca="false">E21+E22+E23</f>
        <v>45782.1917808219</v>
      </c>
      <c r="F24" s="14" t="n">
        <f aca="false">F21+F22+F23</f>
        <v>55991.7808219178</v>
      </c>
      <c r="G24" s="14" t="n">
        <f aca="false">G21+G22+G23</f>
        <v>59213.698630137</v>
      </c>
      <c r="H24" s="14" t="n">
        <f aca="false">H21+H22+H23</f>
        <v>59435.6164383562</v>
      </c>
    </row>
    <row r="26" customFormat="false" ht="15" hidden="false" customHeight="true" outlineLevel="0" collapsed="false">
      <c r="A26" s="6" t="s">
        <v>112</v>
      </c>
      <c r="B26" s="7"/>
      <c r="C26" s="7"/>
      <c r="D26" s="7"/>
      <c r="E26" s="7"/>
      <c r="F26" s="7"/>
      <c r="G26" s="7"/>
      <c r="H26" s="7"/>
    </row>
    <row r="27" customFormat="false" ht="15" hidden="false" customHeight="true" outlineLevel="0" collapsed="false">
      <c r="A27" s="12" t="s">
        <v>113</v>
      </c>
      <c r="B27" s="15" t="n">
        <f aca="false">B15-(B19+B20+B22+B23+B28)</f>
        <v>8959.38253424658</v>
      </c>
      <c r="C27" s="15" t="n">
        <f aca="false">B27+'Cash Flow Statement'!C26-'Income Statement'!C30</f>
        <v>9742.56113424658</v>
      </c>
      <c r="D27" s="15" t="n">
        <f aca="false">C27+'Cash Flow Statement'!D26-'Income Statement'!D30</f>
        <v>11838.5611342466</v>
      </c>
      <c r="E27" s="15" t="n">
        <f aca="false">D27+'Cash Flow Statement'!E26-'Income Statement'!E30</f>
        <v>12548.5611342466</v>
      </c>
      <c r="F27" s="15" t="n">
        <f aca="false">E27+'Cash Flow Statement'!F26-'Income Statement'!F30</f>
        <v>13160.5611342466</v>
      </c>
      <c r="G27" s="15" t="n">
        <f aca="false">F27+'Cash Flow Statement'!G26-'Income Statement'!G30</f>
        <v>13773.0611342466</v>
      </c>
      <c r="H27" s="15" t="n">
        <f aca="false">G27+'Cash Flow Statement'!H26-'Income Statement'!H30</f>
        <v>14477.0611342466</v>
      </c>
    </row>
    <row r="28" customFormat="false" ht="15" hidden="false" customHeight="true" outlineLevel="0" collapsed="false">
      <c r="A28" s="12" t="s">
        <v>114</v>
      </c>
      <c r="B28" s="24" t="n">
        <v>-900</v>
      </c>
      <c r="C28" s="15" t="n">
        <f aca="false">B28+'Income Statement'!C41</f>
        <v>-760.904</v>
      </c>
      <c r="D28" s="15" t="n">
        <f aca="false">C28+'Income Statement'!D41</f>
        <v>-1375.4945729726</v>
      </c>
      <c r="E28" s="15" t="n">
        <f aca="false">D28+'Income Statement'!E41</f>
        <v>-2792.22352865678</v>
      </c>
      <c r="F28" s="15" t="n">
        <f aca="false">E28+'Income Statement'!F41</f>
        <v>-4308.007586831</v>
      </c>
      <c r="G28" s="15" t="n">
        <f aca="false">F28+'Income Statement'!G41</f>
        <v>-5347.05627882214</v>
      </c>
      <c r="H28" s="15" t="n">
        <f aca="false">G28+'Income Statement'!H41</f>
        <v>-5462.85985996448</v>
      </c>
    </row>
    <row r="29" customFormat="false" ht="15" hidden="false" customHeight="true" outlineLevel="0" collapsed="false">
      <c r="A29" s="8" t="s">
        <v>115</v>
      </c>
      <c r="B29" s="14" t="n">
        <f aca="false">B27+B28</f>
        <v>8059.38253424658</v>
      </c>
      <c r="C29" s="14" t="n">
        <f aca="false">C27+C28</f>
        <v>8981.65713424657</v>
      </c>
      <c r="D29" s="14" t="n">
        <f aca="false">D27+D28</f>
        <v>10463.066561274</v>
      </c>
      <c r="E29" s="14" t="n">
        <f aca="false">E27+E28</f>
        <v>9756.33760558979</v>
      </c>
      <c r="F29" s="14" t="n">
        <f aca="false">F27+F28</f>
        <v>8852.55354741557</v>
      </c>
      <c r="G29" s="14" t="n">
        <f aca="false">G27+G28</f>
        <v>8426.00485542443</v>
      </c>
      <c r="H29" s="14" t="n">
        <f aca="false">H27+H28</f>
        <v>9014.2012742821</v>
      </c>
    </row>
    <row r="30" customFormat="false" ht="15" hidden="false" customHeight="true" outlineLevel="0" collapsed="false">
      <c r="A30" s="8" t="s">
        <v>116</v>
      </c>
      <c r="B30" s="30" t="n">
        <f aca="false">B24+B29</f>
        <v>8369.04006849315</v>
      </c>
      <c r="C30" s="30" t="n">
        <f aca="false">C24+C29</f>
        <v>14409.0035232877</v>
      </c>
      <c r="D30" s="30" t="n">
        <f aca="false">D24+D29</f>
        <v>37031.3953283973</v>
      </c>
      <c r="E30" s="30" t="n">
        <f aca="false">E24+E29</f>
        <v>55538.5293864117</v>
      </c>
      <c r="F30" s="30" t="n">
        <f aca="false">F24+F29</f>
        <v>64844.3343693334</v>
      </c>
      <c r="G30" s="30" t="n">
        <f aca="false">G24+G29</f>
        <v>67639.7034855614</v>
      </c>
      <c r="H30" s="30" t="n">
        <f aca="false">H24+H29</f>
        <v>68449.8177126383</v>
      </c>
    </row>
    <row r="32" customFormat="false" ht="15" hidden="false" customHeight="true" outlineLevel="0" collapsed="false">
      <c r="A32" s="8" t="s">
        <v>117</v>
      </c>
      <c r="B32" s="31" t="n">
        <f aca="false">B15-B30</f>
        <v>0</v>
      </c>
      <c r="C32" s="31" t="n">
        <f aca="false">C15-C30</f>
        <v>0</v>
      </c>
      <c r="D32" s="31" t="n">
        <f aca="false">D15-D30</f>
        <v>0</v>
      </c>
      <c r="E32" s="31" t="n">
        <f aca="false">E15-E30</f>
        <v>0</v>
      </c>
      <c r="F32" s="31" t="n">
        <f aca="false">F15-F30</f>
        <v>0</v>
      </c>
      <c r="G32" s="31" t="n">
        <f aca="false">G15-G30</f>
        <v>0</v>
      </c>
      <c r="H32" s="31" t="n">
        <f aca="false">H15-H30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8" min="2" style="1" width="12.5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118</v>
      </c>
    </row>
    <row r="4" customFormat="false" ht="15" hidden="false" customHeight="tru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customFormat="false" ht="15" hidden="false" customHeight="true" outlineLevel="0" collapsed="false">
      <c r="A5" s="6" t="s">
        <v>119</v>
      </c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8" t="s">
        <v>120</v>
      </c>
      <c r="B6" s="23" t="n">
        <f aca="false">'Income Statement'!B31</f>
        <v>-325.475</v>
      </c>
      <c r="C6" s="23" t="n">
        <f aca="false">'Income Statement'!C31</f>
        <v>-519.204</v>
      </c>
      <c r="D6" s="23" t="n">
        <f aca="false">'Income Statement'!D31</f>
        <v>-576</v>
      </c>
      <c r="E6" s="23" t="n">
        <f aca="false">'Income Statement'!E31</f>
        <v>-660</v>
      </c>
      <c r="F6" s="23" t="n">
        <f aca="false">'Income Statement'!F31</f>
        <v>-192</v>
      </c>
      <c r="G6" s="23" t="n">
        <f aca="false">'Income Statement'!G31</f>
        <v>577.5</v>
      </c>
      <c r="H6" s="23" t="n">
        <f aca="false">'Income Statement'!H31</f>
        <v>1596</v>
      </c>
    </row>
    <row r="7" customFormat="false" ht="15" hidden="false" customHeight="true" outlineLevel="0" collapsed="false">
      <c r="A7" s="12" t="s">
        <v>121</v>
      </c>
      <c r="B7" s="32" t="n">
        <f aca="false">'Income Statement'!B39</f>
        <v>0</v>
      </c>
      <c r="C7" s="32" t="n">
        <f aca="false">'Income Statement'!C39</f>
        <v>0</v>
      </c>
      <c r="D7" s="32" t="n">
        <f aca="false">'Income Statement'!D39</f>
        <v>0.15</v>
      </c>
      <c r="E7" s="32" t="n">
        <f aca="false">'Income Statement'!E39</f>
        <v>0.15</v>
      </c>
      <c r="F7" s="32" t="n">
        <f aca="false">'Income Statement'!F39</f>
        <v>0.15</v>
      </c>
      <c r="G7" s="32" t="n">
        <f aca="false">'Income Statement'!G39</f>
        <v>0.15</v>
      </c>
      <c r="H7" s="32" t="n">
        <f aca="false">'Income Statement'!H39</f>
        <v>0.15</v>
      </c>
    </row>
    <row r="8" customFormat="false" ht="15" hidden="false" customHeight="true" outlineLevel="0" collapsed="false">
      <c r="A8" s="8" t="s">
        <v>122</v>
      </c>
      <c r="B8" s="14" t="n">
        <f aca="false">B6*(1-B7)</f>
        <v>-325.475</v>
      </c>
      <c r="C8" s="14" t="n">
        <f aca="false">C6*(1-C7)</f>
        <v>-519.204</v>
      </c>
      <c r="D8" s="14" t="n">
        <f aca="false">D6*(1-D7)</f>
        <v>-489.6</v>
      </c>
      <c r="E8" s="14" t="n">
        <f aca="false">E6*(1-E7)</f>
        <v>-561</v>
      </c>
      <c r="F8" s="14" t="n">
        <f aca="false">F6*(1-F7)</f>
        <v>-163.2</v>
      </c>
      <c r="G8" s="14" t="n">
        <f aca="false">G6*(1-G7)</f>
        <v>490.875</v>
      </c>
      <c r="H8" s="14" t="n">
        <f aca="false">H6*(1-H7)</f>
        <v>1356.6</v>
      </c>
    </row>
    <row r="9" customFormat="false" ht="15" hidden="false" customHeight="true" outlineLevel="0" collapsed="false">
      <c r="A9" s="12" t="s">
        <v>123</v>
      </c>
      <c r="B9" s="25" t="n">
        <f aca="false">-'Income Statement'!B28</f>
        <v>77.08</v>
      </c>
      <c r="C9" s="25" t="n">
        <f aca="false">-'Income Statement'!C28</f>
        <v>418.0122</v>
      </c>
      <c r="D9" s="25" t="n">
        <f aca="false">-'Income Statement'!D28</f>
        <v>1760</v>
      </c>
      <c r="E9" s="25" t="n">
        <f aca="false">-'Income Statement'!E28</f>
        <v>3750</v>
      </c>
      <c r="F9" s="25" t="n">
        <f aca="false">-'Income Statement'!F28</f>
        <v>5520</v>
      </c>
      <c r="G9" s="25" t="n">
        <f aca="false">-'Income Statement'!G28</f>
        <v>7095</v>
      </c>
      <c r="H9" s="25" t="n">
        <f aca="false">-'Income Statement'!H28</f>
        <v>8400</v>
      </c>
    </row>
    <row r="10" customFormat="false" ht="15" hidden="false" customHeight="true" outlineLevel="0" collapsed="false">
      <c r="A10" s="12" t="s">
        <v>124</v>
      </c>
      <c r="B10" s="25" t="n">
        <f aca="false">'Cash Flow Statement'!B16</f>
        <v>-800</v>
      </c>
      <c r="C10" s="25" t="n">
        <f aca="false">'Cash Flow Statement'!C16</f>
        <v>-4000</v>
      </c>
      <c r="D10" s="25" t="n">
        <f aca="false">'Cash Flow Statement'!D16</f>
        <v>-22500</v>
      </c>
      <c r="E10" s="25" t="n">
        <f aca="false">'Cash Flow Statement'!E16</f>
        <v>-18000</v>
      </c>
      <c r="F10" s="25" t="n">
        <f aca="false">'Cash Flow Statement'!F16</f>
        <v>-12000</v>
      </c>
      <c r="G10" s="25" t="n">
        <f aca="false">'Cash Flow Statement'!G16</f>
        <v>-9000</v>
      </c>
      <c r="H10" s="25" t="n">
        <f aca="false">'Cash Flow Statement'!H16</f>
        <v>-8000</v>
      </c>
    </row>
    <row r="11" customFormat="false" ht="15" hidden="false" customHeight="true" outlineLevel="0" collapsed="false">
      <c r="A11" s="12" t="s">
        <v>125</v>
      </c>
      <c r="B11" s="25" t="n">
        <f aca="false">'Cash Flow Statement'!B10+'Cash Flow Statement'!B11+'Cash Flow Statement'!B12</f>
        <v>0</v>
      </c>
      <c r="C11" s="25" t="n">
        <f aca="false">'Cash Flow Statement'!C10+'Cash Flow Statement'!C11+'Cash Flow Statement'!C12</f>
        <v>771.686115068493</v>
      </c>
      <c r="D11" s="25" t="n">
        <f aca="false">'Cash Flow Statement'!D10+'Cash Flow Statement'!D11+'Cash Flow Statement'!D12</f>
        <v>2811.77963835616</v>
      </c>
      <c r="E11" s="25" t="n">
        <f aca="false">'Cash Flow Statement'!E10+'Cash Flow Statement'!E11+'Cash Flow Statement'!E12</f>
        <v>1683.72602739726</v>
      </c>
      <c r="F11" s="25" t="n">
        <f aca="false">'Cash Flow Statement'!F10+'Cash Flow Statement'!F11+'Cash Flow Statement'!F12</f>
        <v>654.794520547945</v>
      </c>
      <c r="G11" s="25" t="n">
        <f aca="false">'Cash Flow Statement'!G10+'Cash Flow Statement'!G11+'Cash Flow Statement'!G12</f>
        <v>167.123287671233</v>
      </c>
      <c r="H11" s="25" t="n">
        <f aca="false">'Cash Flow Statement'!H10+'Cash Flow Statement'!H11+'Cash Flow Statement'!H12</f>
        <v>-332.876712328767</v>
      </c>
    </row>
    <row r="12" customFormat="false" ht="15" hidden="false" customHeight="true" outlineLevel="0" collapsed="false">
      <c r="A12" s="8" t="s">
        <v>126</v>
      </c>
      <c r="B12" s="30" t="n">
        <f aca="false">B8+B9+B10+B11</f>
        <v>-1048.395</v>
      </c>
      <c r="C12" s="30" t="n">
        <f aca="false">C8+C9+C10+C11</f>
        <v>-3329.50568493151</v>
      </c>
      <c r="D12" s="30" t="n">
        <f aca="false">D8+D9+D10+D11</f>
        <v>-18417.8203616438</v>
      </c>
      <c r="E12" s="30" t="n">
        <f aca="false">E8+E9+E10+E11</f>
        <v>-13127.2739726027</v>
      </c>
      <c r="F12" s="30" t="n">
        <f aca="false">F8+F9+F10+F11</f>
        <v>-5988.40547945205</v>
      </c>
      <c r="G12" s="30" t="n">
        <f aca="false">G8+G9+G10+G11</f>
        <v>-1247.00171232877</v>
      </c>
      <c r="H12" s="30" t="n">
        <f aca="false">H8+H9+H10+H11</f>
        <v>1423.72328767123</v>
      </c>
    </row>
    <row r="14" customFormat="false" ht="15" hidden="false" customHeight="true" outlineLevel="0" collapsed="false">
      <c r="A14" s="6" t="s">
        <v>127</v>
      </c>
      <c r="B14" s="7"/>
      <c r="C14" s="7"/>
      <c r="D14" s="7"/>
      <c r="E14" s="7"/>
      <c r="F14" s="7"/>
      <c r="G14" s="7"/>
      <c r="H14" s="7"/>
    </row>
    <row r="15" customFormat="false" ht="15" hidden="false" customHeight="true" outlineLevel="0" collapsed="false">
      <c r="A15" s="12" t="s">
        <v>128</v>
      </c>
      <c r="D15" s="25" t="n">
        <f aca="false">'Income Statement'!H6</f>
        <v>21000</v>
      </c>
    </row>
    <row r="16" customFormat="false" ht="15" hidden="false" customHeight="true" outlineLevel="0" collapsed="false">
      <c r="A16" s="12" t="s">
        <v>129</v>
      </c>
      <c r="D16" s="25" t="n">
        <f aca="false">'Income Statement'!H23</f>
        <v>10500</v>
      </c>
    </row>
    <row r="17" customFormat="false" ht="15" hidden="false" customHeight="true" outlineLevel="0" collapsed="false">
      <c r="A17" s="12" t="s">
        <v>130</v>
      </c>
      <c r="D17" s="25" t="n">
        <f aca="false">'Income Statement'!H31</f>
        <v>1596</v>
      </c>
    </row>
    <row r="18" customFormat="false" ht="15" hidden="false" customHeight="true" outlineLevel="0" collapsed="false">
      <c r="A18" s="12" t="s">
        <v>131</v>
      </c>
      <c r="D18" s="15" t="n">
        <f aca="false">H12</f>
        <v>1423.72328767123</v>
      </c>
    </row>
    <row r="20" customFormat="false" ht="15" hidden="false" customHeight="true" outlineLevel="0" collapsed="false">
      <c r="A20" s="6" t="s">
        <v>132</v>
      </c>
      <c r="B20" s="7"/>
      <c r="C20" s="7"/>
      <c r="D20" s="7"/>
      <c r="E20" s="7"/>
      <c r="F20" s="7"/>
      <c r="G20" s="7"/>
      <c r="H20" s="7"/>
    </row>
    <row r="21" customFormat="false" ht="15" hidden="false" customHeight="true" outlineLevel="0" collapsed="false">
      <c r="A21" s="12" t="s">
        <v>133</v>
      </c>
      <c r="D21" s="13" t="n">
        <v>0.043</v>
      </c>
    </row>
    <row r="22" customFormat="false" ht="15" hidden="false" customHeight="true" outlineLevel="0" collapsed="false">
      <c r="A22" s="12" t="s">
        <v>134</v>
      </c>
      <c r="D22" s="13" t="n">
        <v>0.055</v>
      </c>
    </row>
    <row r="23" customFormat="false" ht="15" hidden="false" customHeight="true" outlineLevel="0" collapsed="false">
      <c r="A23" s="12" t="s">
        <v>135</v>
      </c>
      <c r="D23" s="33" t="n">
        <v>1.6</v>
      </c>
    </row>
    <row r="24" customFormat="false" ht="15" hidden="false" customHeight="true" outlineLevel="0" collapsed="false">
      <c r="A24" s="12" t="s">
        <v>136</v>
      </c>
      <c r="D24" s="18" t="n">
        <f aca="false">D21+D22*D23</f>
        <v>0.131</v>
      </c>
    </row>
    <row r="25" customFormat="false" ht="15" hidden="false" customHeight="true" outlineLevel="0" collapsed="false">
      <c r="A25" s="12" t="s">
        <v>137</v>
      </c>
      <c r="D25" s="13" t="n">
        <v>0.055</v>
      </c>
    </row>
    <row r="26" customFormat="false" ht="15" hidden="false" customHeight="true" outlineLevel="0" collapsed="false">
      <c r="A26" s="12" t="s">
        <v>138</v>
      </c>
      <c r="D26" s="13" t="n">
        <v>0.15</v>
      </c>
    </row>
    <row r="27" customFormat="false" ht="15" hidden="false" customHeight="true" outlineLevel="0" collapsed="false">
      <c r="A27" s="12" t="s">
        <v>139</v>
      </c>
      <c r="D27" s="18" t="n">
        <f aca="false">D25*(1-D26)</f>
        <v>0.04675</v>
      </c>
    </row>
    <row r="28" customFormat="false" ht="15" hidden="false" customHeight="true" outlineLevel="0" collapsed="false">
      <c r="A28" s="12" t="s">
        <v>140</v>
      </c>
      <c r="D28" s="13" t="n">
        <v>0.8</v>
      </c>
    </row>
    <row r="29" customFormat="false" ht="15" hidden="false" customHeight="true" outlineLevel="0" collapsed="false">
      <c r="A29" s="12" t="s">
        <v>141</v>
      </c>
      <c r="D29" s="18" t="n">
        <f aca="false">1-D28</f>
        <v>0.2</v>
      </c>
    </row>
    <row r="30" customFormat="false" ht="15" hidden="false" customHeight="true" outlineLevel="0" collapsed="false">
      <c r="A30" s="12" t="s">
        <v>142</v>
      </c>
      <c r="D30" s="18" t="n">
        <f aca="false">D24*D28+D27*D29</f>
        <v>0.11415</v>
      </c>
    </row>
    <row r="31" customFormat="false" ht="15" hidden="false" customHeight="true" outlineLevel="0" collapsed="false">
      <c r="A31" s="12" t="s">
        <v>143</v>
      </c>
      <c r="D31" s="13" t="n">
        <v>0.035</v>
      </c>
    </row>
    <row r="33" customFormat="false" ht="42" hidden="false" customHeight="true" outlineLevel="0" collapsed="false">
      <c r="A33" s="34" t="s">
        <v>144</v>
      </c>
      <c r="B33" s="34"/>
      <c r="C33" s="34"/>
      <c r="D33" s="34"/>
      <c r="E33" s="34"/>
      <c r="F33" s="34"/>
      <c r="G33" s="34"/>
      <c r="H33" s="34"/>
    </row>
  </sheetData>
  <mergeCells count="1">
    <mergeCell ref="A33:H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8" min="2" style="1" width="12.5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145</v>
      </c>
    </row>
    <row r="4" customFormat="false" ht="15" hidden="false" customHeight="true" outlineLevel="0" collapsed="false">
      <c r="A4" s="4" t="s">
        <v>2</v>
      </c>
      <c r="B4" s="5" t="s">
        <v>146</v>
      </c>
      <c r="C4" s="5" t="s">
        <v>147</v>
      </c>
      <c r="D4" s="5" t="s">
        <v>148</v>
      </c>
      <c r="E4" s="35"/>
      <c r="F4" s="35"/>
      <c r="G4" s="35"/>
      <c r="H4" s="35"/>
    </row>
    <row r="5" customFormat="false" ht="15" hidden="false" customHeight="true" outlineLevel="0" collapsed="false">
      <c r="A5" s="6" t="s">
        <v>149</v>
      </c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12" t="s">
        <v>150</v>
      </c>
      <c r="B6" s="13" t="n">
        <v>1.25</v>
      </c>
      <c r="C6" s="13" t="n">
        <v>1.09</v>
      </c>
      <c r="D6" s="13" t="n">
        <v>0.85</v>
      </c>
    </row>
    <row r="7" customFormat="false" ht="15" hidden="false" customHeight="true" outlineLevel="0" collapsed="false">
      <c r="A7" s="12" t="s">
        <v>151</v>
      </c>
      <c r="B7" s="13" t="n">
        <v>0.54</v>
      </c>
      <c r="C7" s="13" t="n">
        <v>0.5</v>
      </c>
      <c r="D7" s="13" t="n">
        <v>0.42</v>
      </c>
    </row>
    <row r="8" customFormat="false" ht="15" hidden="false" customHeight="true" outlineLevel="0" collapsed="false">
      <c r="A8" s="12" t="s">
        <v>152</v>
      </c>
      <c r="B8" s="36" t="n">
        <v>85</v>
      </c>
      <c r="C8" s="36" t="n">
        <v>69.5</v>
      </c>
      <c r="D8" s="36" t="n">
        <v>52</v>
      </c>
    </row>
    <row r="10" customFormat="false" ht="15" hidden="false" customHeight="true" outlineLevel="0" collapsed="false">
      <c r="A10" s="6" t="s">
        <v>153</v>
      </c>
      <c r="B10" s="7"/>
      <c r="C10" s="7"/>
      <c r="D10" s="7"/>
      <c r="E10" s="7"/>
      <c r="F10" s="7"/>
      <c r="G10" s="7"/>
      <c r="H10" s="7"/>
    </row>
    <row r="11" customFormat="false" ht="15" hidden="false" customHeight="true" outlineLevel="0" collapsed="false">
      <c r="A11" s="8" t="s">
        <v>154</v>
      </c>
      <c r="B11" s="14" t="n">
        <f aca="false">529.8*(1+B6)^5</f>
        <v>30550.9376953125</v>
      </c>
      <c r="C11" s="14" t="n">
        <f aca="false">529.8*(1+C6)^5</f>
        <v>21127.270098196</v>
      </c>
      <c r="D11" s="14" t="n">
        <f aca="false">529.8*(1+D6)^5</f>
        <v>11480.7588808125</v>
      </c>
    </row>
    <row r="12" customFormat="false" ht="15" hidden="false" customHeight="true" outlineLevel="0" collapsed="false">
      <c r="A12" s="8" t="s">
        <v>155</v>
      </c>
      <c r="B12" s="14" t="n">
        <f aca="false">B11*B7</f>
        <v>16497.5063554687</v>
      </c>
      <c r="C12" s="14" t="n">
        <f aca="false">C11*C7</f>
        <v>10563.635049098</v>
      </c>
      <c r="D12" s="14" t="n">
        <f aca="false">D11*D7</f>
        <v>4821.91872994125</v>
      </c>
    </row>
    <row r="13" customFormat="false" ht="15" hidden="false" customHeight="true" outlineLevel="0" collapsed="false">
      <c r="A13" s="10" t="s">
        <v>156</v>
      </c>
      <c r="B13" s="11" t="n">
        <f aca="false">B12/B11</f>
        <v>0.54</v>
      </c>
      <c r="C13" s="11" t="n">
        <f aca="false">C12/C11</f>
        <v>0.5</v>
      </c>
      <c r="D13" s="11" t="n">
        <f aca="false">D12/D11</f>
        <v>0.42</v>
      </c>
    </row>
    <row r="14" customFormat="false" ht="15" hidden="false" customHeight="true" outlineLevel="0" collapsed="false">
      <c r="A14" s="12" t="s">
        <v>157</v>
      </c>
      <c r="B14" s="37" t="n">
        <f aca="false">B12*18/1000</f>
        <v>296.955114398437</v>
      </c>
      <c r="C14" s="37" t="n">
        <f aca="false">C12*18/1000</f>
        <v>190.145430883764</v>
      </c>
      <c r="D14" s="37" t="n">
        <f aca="false">D12*18/1000</f>
        <v>86.7945371389425</v>
      </c>
    </row>
    <row r="15" customFormat="false" ht="15" hidden="false" customHeight="true" outlineLevel="0" collapsed="false">
      <c r="A15" s="38" t="s">
        <v>158</v>
      </c>
      <c r="C15" s="39" t="n">
        <f aca="false">'Income Statement'!H6</f>
        <v>21000</v>
      </c>
    </row>
    <row r="17" customFormat="false" ht="15" hidden="false" customHeight="true" outlineLevel="0" collapsed="false">
      <c r="A17" s="6" t="s">
        <v>159</v>
      </c>
      <c r="B17" s="7"/>
      <c r="C17" s="7"/>
      <c r="D17" s="7"/>
      <c r="E17" s="7"/>
      <c r="F17" s="7"/>
      <c r="G17" s="7"/>
      <c r="H17" s="7"/>
    </row>
    <row r="18" customFormat="false" ht="43.5" hidden="false" customHeight="true" outlineLevel="0" collapsed="false">
      <c r="A18" s="8" t="s">
        <v>146</v>
      </c>
      <c r="B18" s="40" t="s">
        <v>160</v>
      </c>
      <c r="C18" s="40"/>
      <c r="D18" s="40"/>
      <c r="E18" s="40"/>
      <c r="F18" s="40"/>
      <c r="G18" s="40"/>
      <c r="H18" s="40"/>
    </row>
    <row r="19" customFormat="false" ht="43.5" hidden="false" customHeight="true" outlineLevel="0" collapsed="false">
      <c r="A19" s="8" t="s">
        <v>147</v>
      </c>
      <c r="B19" s="40" t="s">
        <v>161</v>
      </c>
      <c r="C19" s="40"/>
      <c r="D19" s="40"/>
      <c r="E19" s="40"/>
      <c r="F19" s="40"/>
      <c r="G19" s="40"/>
      <c r="H19" s="40"/>
    </row>
    <row r="20" customFormat="false" ht="43.5" hidden="false" customHeight="true" outlineLevel="0" collapsed="false">
      <c r="A20" s="8" t="s">
        <v>148</v>
      </c>
      <c r="B20" s="40" t="s">
        <v>162</v>
      </c>
      <c r="C20" s="40"/>
      <c r="D20" s="40"/>
      <c r="E20" s="40"/>
      <c r="F20" s="40"/>
      <c r="G20" s="40"/>
      <c r="H20" s="40"/>
    </row>
  </sheetData>
  <mergeCells count="3">
    <mergeCell ref="B18:H18"/>
    <mergeCell ref="B19:H19"/>
    <mergeCell ref="B20:H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0" min="2" style="0" width="12.5"/>
  </cols>
  <sheetData>
    <row r="1" customFormat="false" ht="17.35" hidden="false" customHeight="false" outlineLevel="0" collapsed="false">
      <c r="A1" s="41" t="s">
        <v>0</v>
      </c>
    </row>
    <row r="2" customFormat="false" ht="15" hidden="false" customHeight="false" outlineLevel="0" collapsed="false">
      <c r="A2" s="42" t="s">
        <v>163</v>
      </c>
    </row>
    <row r="4" customFormat="false" ht="15" hidden="false" customHeight="false" outlineLevel="0" collapsed="false">
      <c r="A4" s="43" t="s">
        <v>164</v>
      </c>
      <c r="B4" s="44"/>
      <c r="C4" s="44"/>
      <c r="D4" s="44"/>
      <c r="E4" s="44"/>
      <c r="F4" s="44"/>
      <c r="G4" s="44"/>
      <c r="H4" s="44"/>
      <c r="I4" s="44"/>
    </row>
    <row r="5" customFormat="false" ht="15" hidden="false" customHeight="false" outlineLevel="0" collapsed="false">
      <c r="A5" s="12" t="s">
        <v>165</v>
      </c>
      <c r="C5" s="45" t="n">
        <v>198.25</v>
      </c>
    </row>
    <row r="6" customFormat="false" ht="15" hidden="false" customHeight="false" outlineLevel="0" collapsed="false">
      <c r="A6" s="12" t="s">
        <v>67</v>
      </c>
      <c r="C6" s="46" t="n">
        <v>296</v>
      </c>
    </row>
    <row r="7" customFormat="false" ht="15" hidden="false" customHeight="false" outlineLevel="0" collapsed="false">
      <c r="A7" s="12" t="s">
        <v>166</v>
      </c>
      <c r="C7" s="47" t="n">
        <v>2000</v>
      </c>
    </row>
    <row r="8" customFormat="false" ht="15" hidden="false" customHeight="false" outlineLevel="0" collapsed="false">
      <c r="A8" s="12" t="s">
        <v>142</v>
      </c>
      <c r="C8" s="48" t="n">
        <v>0.114</v>
      </c>
    </row>
    <row r="9" customFormat="false" ht="15" hidden="false" customHeight="false" outlineLevel="0" collapsed="false">
      <c r="A9" s="12" t="s">
        <v>167</v>
      </c>
      <c r="C9" s="49" t="n">
        <v>15</v>
      </c>
    </row>
    <row r="10" customFormat="false" ht="15" hidden="false" customHeight="false" outlineLevel="0" collapsed="false">
      <c r="A10" s="12" t="s">
        <v>168</v>
      </c>
      <c r="C10" s="48" t="n">
        <v>0.035</v>
      </c>
    </row>
    <row r="12" customFormat="false" ht="15" hidden="false" customHeight="false" outlineLevel="0" collapsed="false">
      <c r="A12" s="43" t="s">
        <v>169</v>
      </c>
      <c r="B12" s="44"/>
      <c r="C12" s="44"/>
      <c r="D12" s="44"/>
      <c r="E12" s="44"/>
      <c r="F12" s="44"/>
      <c r="G12" s="44"/>
      <c r="H12" s="44"/>
      <c r="I12" s="44"/>
    </row>
    <row r="13" customFormat="false" ht="15" hidden="false" customHeight="false" outlineLevel="0" collapsed="false">
      <c r="A13" s="50"/>
      <c r="D13" s="51" t="s">
        <v>5</v>
      </c>
      <c r="E13" s="51" t="s">
        <v>6</v>
      </c>
      <c r="F13" s="51" t="s">
        <v>7</v>
      </c>
      <c r="G13" s="51" t="s">
        <v>8</v>
      </c>
      <c r="H13" s="51" t="s">
        <v>9</v>
      </c>
    </row>
    <row r="14" customFormat="false" ht="15" hidden="false" customHeight="false" outlineLevel="0" collapsed="false">
      <c r="A14" s="12" t="s">
        <v>126</v>
      </c>
      <c r="D14" s="52" t="n">
        <f aca="false">'DCF Inputs'!D12</f>
        <v>-18417.8203616438</v>
      </c>
      <c r="E14" s="52" t="n">
        <f aca="false">'DCF Inputs'!E12</f>
        <v>-13127.2739726027</v>
      </c>
      <c r="F14" s="52" t="n">
        <f aca="false">'DCF Inputs'!F12</f>
        <v>-5988.40547945205</v>
      </c>
      <c r="G14" s="52" t="n">
        <f aca="false">'DCF Inputs'!G12</f>
        <v>-1247.00171232877</v>
      </c>
      <c r="H14" s="52" t="n">
        <f aca="false">'DCF Inputs'!H12</f>
        <v>1423.72328767123</v>
      </c>
    </row>
    <row r="15" customFormat="false" ht="15" hidden="false" customHeight="false" outlineLevel="0" collapsed="false">
      <c r="A15" s="12" t="s">
        <v>170</v>
      </c>
      <c r="D15" s="53" t="n">
        <v>1</v>
      </c>
      <c r="E15" s="53" t="n">
        <v>2</v>
      </c>
      <c r="F15" s="53" t="n">
        <v>3</v>
      </c>
      <c r="G15" s="53" t="n">
        <v>4</v>
      </c>
      <c r="H15" s="53" t="n">
        <v>5</v>
      </c>
    </row>
    <row r="16" customFormat="false" ht="15" hidden="false" customHeight="false" outlineLevel="0" collapsed="false">
      <c r="A16" s="12" t="s">
        <v>171</v>
      </c>
      <c r="D16" s="54" t="n">
        <f aca="false">1/(1+$C$8)^D15</f>
        <v>0.897666068222621</v>
      </c>
      <c r="E16" s="54" t="n">
        <f aca="false">1/(1+$C$8)^E15</f>
        <v>0.805804370038259</v>
      </c>
      <c r="F16" s="54" t="n">
        <f aca="false">1/(1+$C$8)^F15</f>
        <v>0.723343240608851</v>
      </c>
      <c r="G16" s="54" t="n">
        <f aca="false">1/(1+$C$8)^G15</f>
        <v>0.649320682772756</v>
      </c>
      <c r="H16" s="54" t="n">
        <f aca="false">1/(1+$C$8)^H15</f>
        <v>0.582873144320248</v>
      </c>
    </row>
    <row r="17" customFormat="false" ht="15" hidden="false" customHeight="false" outlineLevel="0" collapsed="false">
      <c r="A17" s="8" t="s">
        <v>172</v>
      </c>
      <c r="D17" s="55" t="n">
        <f aca="false">D14*D16</f>
        <v>-16533.0523892674</v>
      </c>
      <c r="E17" s="55" t="n">
        <f aca="false">E14*E16</f>
        <v>-10578.0147338128</v>
      </c>
      <c r="F17" s="55" t="n">
        <f aca="false">F14*F16</f>
        <v>-4331.67262558665</v>
      </c>
      <c r="G17" s="55" t="n">
        <f aca="false">G14*G16</f>
        <v>-809.704003268111</v>
      </c>
      <c r="H17" s="55" t="n">
        <f aca="false">H14*H16</f>
        <v>829.850069326893</v>
      </c>
    </row>
    <row r="19" customFormat="false" ht="15" hidden="false" customHeight="false" outlineLevel="0" collapsed="false">
      <c r="A19" s="43" t="s">
        <v>173</v>
      </c>
      <c r="B19" s="44"/>
      <c r="C19" s="44"/>
      <c r="D19" s="44"/>
      <c r="E19" s="44"/>
      <c r="F19" s="44"/>
      <c r="G19" s="44"/>
      <c r="H19" s="44"/>
      <c r="I19" s="44"/>
    </row>
    <row r="20" customFormat="false" ht="15" hidden="false" customHeight="false" outlineLevel="0" collapsed="false">
      <c r="A20" s="8" t="s">
        <v>174</v>
      </c>
      <c r="C20" s="55" t="n">
        <f aca="false">SUM(D17:H17)</f>
        <v>-31422.593682608</v>
      </c>
    </row>
    <row r="21" customFormat="false" ht="15" hidden="false" customHeight="false" outlineLevel="0" collapsed="false">
      <c r="A21" s="12" t="s">
        <v>129</v>
      </c>
      <c r="C21" s="52" t="n">
        <f aca="false">'DCF Inputs'!D16</f>
        <v>10500</v>
      </c>
    </row>
    <row r="22" customFormat="false" ht="15" hidden="false" customHeight="false" outlineLevel="0" collapsed="false">
      <c r="A22" s="12" t="s">
        <v>175</v>
      </c>
      <c r="C22" s="56" t="n">
        <f aca="false">C21*$C$9</f>
        <v>157500</v>
      </c>
    </row>
    <row r="23" customFormat="false" ht="15" hidden="false" customHeight="false" outlineLevel="0" collapsed="false">
      <c r="A23" s="12" t="s">
        <v>176</v>
      </c>
      <c r="C23" s="56" t="n">
        <f aca="false">C22*H16</f>
        <v>91802.520230439</v>
      </c>
    </row>
    <row r="24" customFormat="false" ht="15" hidden="false" customHeight="false" outlineLevel="0" collapsed="false">
      <c r="A24" s="8" t="s">
        <v>177</v>
      </c>
      <c r="C24" s="57" t="n">
        <f aca="false">C20+C23</f>
        <v>60379.926547831</v>
      </c>
    </row>
    <row r="25" customFormat="false" ht="15" hidden="false" customHeight="false" outlineLevel="0" collapsed="false">
      <c r="A25" s="10" t="s">
        <v>178</v>
      </c>
      <c r="C25" s="58" t="n">
        <f aca="false">C23/C24</f>
        <v>1.52041457284179</v>
      </c>
    </row>
    <row r="26" customFormat="false" ht="15" hidden="false" customHeight="false" outlineLevel="0" collapsed="false">
      <c r="A26" s="12" t="s">
        <v>179</v>
      </c>
      <c r="C26" s="52" t="n">
        <f aca="false">$C$7</f>
        <v>2000</v>
      </c>
    </row>
    <row r="27" customFormat="false" ht="15" hidden="false" customHeight="false" outlineLevel="0" collapsed="false">
      <c r="A27" s="8" t="s">
        <v>180</v>
      </c>
      <c r="C27" s="55" t="n">
        <f aca="false">C24+$C$7</f>
        <v>62379.926547831</v>
      </c>
    </row>
    <row r="28" customFormat="false" ht="15" hidden="false" customHeight="false" outlineLevel="0" collapsed="false">
      <c r="A28" s="8" t="s">
        <v>181</v>
      </c>
      <c r="C28" s="59" t="n">
        <f aca="false">C27/$C$6</f>
        <v>210.742995094024</v>
      </c>
    </row>
    <row r="29" customFormat="false" ht="15" hidden="false" customHeight="false" outlineLevel="0" collapsed="false">
      <c r="A29" s="8" t="s">
        <v>182</v>
      </c>
      <c r="C29" s="60" t="n">
        <f aca="false">C28/$C$5-1</f>
        <v>0.0630163686962106</v>
      </c>
    </row>
    <row r="31" customFormat="false" ht="15" hidden="false" customHeight="false" outlineLevel="0" collapsed="false">
      <c r="A31" s="43" t="s">
        <v>183</v>
      </c>
      <c r="B31" s="44"/>
      <c r="C31" s="44"/>
      <c r="D31" s="44"/>
      <c r="E31" s="44"/>
      <c r="F31" s="44"/>
      <c r="G31" s="44"/>
      <c r="H31" s="44"/>
      <c r="I31" s="44"/>
    </row>
    <row r="32" customFormat="false" ht="15" hidden="false" customHeight="false" outlineLevel="0" collapsed="false">
      <c r="A32" s="12" t="s">
        <v>184</v>
      </c>
      <c r="C32" s="56" t="n">
        <f aca="false">H14*(1+$C$10)/($C$8-$C$10)</f>
        <v>18652.57724987</v>
      </c>
    </row>
    <row r="33" customFormat="false" ht="15" hidden="false" customHeight="false" outlineLevel="0" collapsed="false">
      <c r="A33" s="12" t="s">
        <v>185</v>
      </c>
      <c r="C33" s="56" t="n">
        <f aca="false">C32*H16</f>
        <v>10872.086351308</v>
      </c>
    </row>
    <row r="34" customFormat="false" ht="15" hidden="false" customHeight="false" outlineLevel="0" collapsed="false">
      <c r="A34" s="12" t="s">
        <v>186</v>
      </c>
      <c r="C34" s="56" t="n">
        <f aca="false">C20+C32*H16</f>
        <v>-20550.5073313</v>
      </c>
    </row>
    <row r="35" customFormat="false" ht="15" hidden="false" customHeight="false" outlineLevel="0" collapsed="false">
      <c r="A35" s="12" t="s">
        <v>187</v>
      </c>
      <c r="C35" s="61" t="n">
        <f aca="false">(C20+C32*H16+$C$7)/$C$6</f>
        <v>-62.6706328760135</v>
      </c>
    </row>
    <row r="36" customFormat="false" ht="54" hidden="false" customHeight="true" outlineLevel="0" collapsed="false">
      <c r="A36" s="34" t="s">
        <v>188</v>
      </c>
      <c r="B36" s="34"/>
      <c r="C36" s="34"/>
      <c r="D36" s="34"/>
      <c r="E36" s="34"/>
      <c r="F36" s="34"/>
      <c r="G36" s="34"/>
      <c r="H36" s="34"/>
      <c r="I36" s="34"/>
      <c r="J36" s="34"/>
    </row>
  </sheetData>
  <mergeCells count="1">
    <mergeCell ref="A36:J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0" min="2" style="0" width="12.5"/>
  </cols>
  <sheetData>
    <row r="1" customFormat="false" ht="17.35" hidden="false" customHeight="false" outlineLevel="0" collapsed="false">
      <c r="A1" s="41" t="s">
        <v>0</v>
      </c>
    </row>
    <row r="2" customFormat="false" ht="15" hidden="false" customHeight="false" outlineLevel="0" collapsed="false">
      <c r="A2" s="42" t="s">
        <v>189</v>
      </c>
    </row>
    <row r="4" customFormat="false" ht="15" hidden="false" customHeight="false" outlineLevel="0" collapsed="false">
      <c r="A4" s="43" t="s">
        <v>190</v>
      </c>
      <c r="B4" s="44"/>
      <c r="C4" s="44"/>
      <c r="D4" s="44"/>
      <c r="E4" s="44"/>
      <c r="F4" s="44"/>
      <c r="G4" s="44"/>
      <c r="H4" s="44"/>
    </row>
    <row r="5" customFormat="false" ht="15" hidden="false" customHeight="false" outlineLevel="0" collapsed="false">
      <c r="A5" s="8" t="s">
        <v>191</v>
      </c>
      <c r="C5" s="62" t="n">
        <v>11</v>
      </c>
      <c r="D5" s="62" t="n">
        <v>13</v>
      </c>
      <c r="E5" s="62" t="n">
        <v>15</v>
      </c>
      <c r="F5" s="62" t="n">
        <v>17</v>
      </c>
      <c r="G5" s="62" t="n">
        <v>19</v>
      </c>
    </row>
    <row r="6" customFormat="false" ht="15" hidden="false" customHeight="false" outlineLevel="0" collapsed="false">
      <c r="B6" s="63" t="n">
        <v>0.099</v>
      </c>
      <c r="C6" s="61" t="n">
        <f aca="false">(NPV($B6,DCF!D14:H14)+DCF!$C$21*C$5/(1+$B6)^5+DCF!$C$7)/DCF!$C$6</f>
        <v>141.681066982571</v>
      </c>
      <c r="D6" s="61" t="n">
        <f aca="false">(NPV($B6,DCF!D14:H14)+DCF!$C$21*D$5/(1+$B6)^5+DCF!$C$7)/DCF!$C$6</f>
        <v>185.933700547478</v>
      </c>
      <c r="E6" s="61" t="n">
        <f aca="false">(NPV($B6,DCF!D14:H14)+DCF!$C$21*E$5/(1+$B6)^5+DCF!$C$7)/DCF!$C$6</f>
        <v>230.186334112385</v>
      </c>
      <c r="F6" s="61" t="n">
        <f aca="false">(NPV($B6,DCF!D14:H14)+DCF!$C$21*F$5/(1+$B6)^5+DCF!$C$7)/DCF!$C$6</f>
        <v>274.438967677293</v>
      </c>
      <c r="G6" s="61" t="n">
        <f aca="false">(NPV($B6,DCF!D14:H14)+DCF!$C$21*G$5/(1+$B6)^5+DCF!$C$7)/DCF!$C$6</f>
        <v>318.6916012422</v>
      </c>
    </row>
    <row r="7" customFormat="false" ht="15" hidden="false" customHeight="false" outlineLevel="0" collapsed="false">
      <c r="B7" s="63" t="n">
        <v>0.109</v>
      </c>
      <c r="C7" s="61" t="n">
        <f aca="false">(NPV($B7,DCF!D14:H14)+DCF!$C$21*C$5/(1+$B7)^5+DCF!$C$7)/DCF!$C$6</f>
        <v>132.452057359482</v>
      </c>
      <c r="D7" s="61" t="n">
        <f aca="false">(NPV($B7,DCF!D14:H14)+DCF!$C$21*D$5/(1+$B7)^5+DCF!$C$7)/DCF!$C$6</f>
        <v>174.745189855867</v>
      </c>
      <c r="E7" s="61" t="n">
        <f aca="false">(NPV($B7,DCF!D14:H14)+DCF!$C$21*E$5/(1+$B7)^5+DCF!$C$7)/DCF!$C$6</f>
        <v>217.038322352253</v>
      </c>
      <c r="F7" s="61" t="n">
        <f aca="false">(NPV($B7,DCF!D14:H14)+DCF!$C$21*F$5/(1+$B7)^5+DCF!$C$7)/DCF!$C$6</f>
        <v>259.331454848638</v>
      </c>
      <c r="G7" s="61" t="n">
        <f aca="false">(NPV($B7,DCF!D14:H14)+DCF!$C$21*G$5/(1+$B7)^5+DCF!$C$7)/DCF!$C$6</f>
        <v>301.624587345023</v>
      </c>
    </row>
    <row r="8" customFormat="false" ht="15" hidden="false" customHeight="false" outlineLevel="0" collapsed="false">
      <c r="B8" s="64" t="n">
        <v>0.114</v>
      </c>
      <c r="C8" s="61" t="n">
        <f aca="false">(NPV($B8,DCF!D14:H14)+DCF!$C$21*C$5/(1+$B8)^5+DCF!$C$7)/DCF!$C$6</f>
        <v>128.038021913448</v>
      </c>
      <c r="D8" s="61" t="n">
        <f aca="false">(NPV($B8,DCF!D14:H14)+DCF!$C$21*D$5/(1+$B8)^5+DCF!$C$7)/DCF!$C$6</f>
        <v>169.390508503736</v>
      </c>
      <c r="E8" s="61" t="n">
        <f aca="false">(NPV($B8,DCF!D14:H14)+DCF!$C$21*E$5/(1+$B8)^5+DCF!$C$7)/DCF!$C$6</f>
        <v>210.742995094024</v>
      </c>
      <c r="F8" s="61" t="n">
        <f aca="false">(NPV($B8,DCF!D14:H14)+DCF!$C$21*F$5/(1+$B8)^5+DCF!$C$7)/DCF!$C$6</f>
        <v>252.095481684312</v>
      </c>
      <c r="G8" s="61" t="n">
        <f aca="false">(NPV($B8,DCF!D14:H14)+DCF!$C$21*G$5/(1+$B8)^5+DCF!$C$7)/DCF!$C$6</f>
        <v>293.4479682746</v>
      </c>
    </row>
    <row r="9" customFormat="false" ht="15" hidden="false" customHeight="false" outlineLevel="0" collapsed="false">
      <c r="B9" s="63" t="n">
        <v>0.119</v>
      </c>
      <c r="C9" s="61" t="n">
        <f aca="false">(NPV($B9,DCF!D14:H14)+DCF!$C$21*C$5/(1+$B9)^5+DCF!$C$7)/DCF!$C$6</f>
        <v>123.751937058022</v>
      </c>
      <c r="D9" s="61" t="n">
        <f aca="false">(NPV($B9,DCF!D14:H14)+DCF!$C$21*D$5/(1+$B9)^5+DCF!$C$7)/DCF!$C$6</f>
        <v>164.188771602624</v>
      </c>
      <c r="E9" s="61" t="n">
        <f aca="false">(NPV($B9,DCF!D14:H14)+DCF!$C$21*E$5/(1+$B9)^5+DCF!$C$7)/DCF!$C$6</f>
        <v>204.625606147226</v>
      </c>
      <c r="F9" s="61" t="n">
        <f aca="false">(NPV($B9,DCF!D14:H14)+DCF!$C$21*F$5/(1+$B9)^5+DCF!$C$7)/DCF!$C$6</f>
        <v>245.062440691828</v>
      </c>
      <c r="G9" s="61" t="n">
        <f aca="false">(NPV($B9,DCF!D14:H14)+DCF!$C$21*G$5/(1+$B9)^5+DCF!$C$7)/DCF!$C$6</f>
        <v>285.49927523643</v>
      </c>
    </row>
    <row r="10" customFormat="false" ht="15" hidden="false" customHeight="false" outlineLevel="0" collapsed="false">
      <c r="B10" s="63" t="n">
        <v>0.129</v>
      </c>
      <c r="C10" s="61" t="n">
        <f aca="false">(NPV($B10,DCF!D14:H14)+DCF!$C$21*C$5/(1+$B10)^5+DCF!$C$7)/DCF!$C$6</f>
        <v>115.547442445554</v>
      </c>
      <c r="D10" s="61" t="n">
        <f aca="false">(NPV($B10,DCF!D14:H14)+DCF!$C$21*D$5/(1+$B10)^5+DCF!$C$7)/DCF!$C$6</f>
        <v>154.22489606866</v>
      </c>
      <c r="E10" s="61" t="n">
        <f aca="false">(NPV($B10,DCF!D14:H14)+DCF!$C$21*E$5/(1+$B10)^5+DCF!$C$7)/DCF!$C$6</f>
        <v>192.902349691765</v>
      </c>
      <c r="F10" s="61" t="n">
        <f aca="false">(NPV($B10,DCF!D14:H14)+DCF!$C$21*F$5/(1+$B10)^5+DCF!$C$7)/DCF!$C$6</f>
        <v>231.579803314871</v>
      </c>
      <c r="G10" s="61" t="n">
        <f aca="false">(NPV($B10,DCF!D14:H14)+DCF!$C$21*G$5/(1+$B10)^5+DCF!$C$7)/DCF!$C$6</f>
        <v>270.257256937977</v>
      </c>
    </row>
    <row r="12" customFormat="false" ht="15" hidden="false" customHeight="false" outlineLevel="0" collapsed="false">
      <c r="A12" s="65" t="s">
        <v>192</v>
      </c>
    </row>
    <row r="14" customFormat="false" ht="15" hidden="false" customHeight="false" outlineLevel="0" collapsed="false">
      <c r="A14" s="43" t="s">
        <v>193</v>
      </c>
      <c r="B14" s="44"/>
      <c r="C14" s="44"/>
      <c r="D14" s="44"/>
      <c r="E14" s="44"/>
      <c r="F14" s="44"/>
      <c r="G14" s="44"/>
      <c r="H14" s="44"/>
    </row>
    <row r="15" customFormat="false" ht="15" hidden="false" customHeight="false" outlineLevel="0" collapsed="false">
      <c r="A15" s="8" t="s">
        <v>194</v>
      </c>
      <c r="C15" s="66" t="n">
        <v>0.025</v>
      </c>
      <c r="D15" s="66" t="n">
        <v>0.03</v>
      </c>
      <c r="E15" s="66" t="n">
        <v>0.035</v>
      </c>
      <c r="F15" s="66" t="n">
        <v>0.04</v>
      </c>
      <c r="G15" s="66" t="n">
        <v>0.045</v>
      </c>
    </row>
    <row r="16" customFormat="false" ht="15" hidden="false" customHeight="false" outlineLevel="0" collapsed="false">
      <c r="B16" s="63" t="n">
        <v>0.099</v>
      </c>
      <c r="C16" s="61" t="n">
        <f aca="false">(NPV($B16,DCF!D14:H14)+DCF!H14*(1+C$15)/($B16-C$15)/(1+$B16)^5+DCF!$C$7)/DCF!$C$6</f>
        <v>-60.1520517487307</v>
      </c>
      <c r="D16" s="61" t="n">
        <f aca="false">(NPV($B16,DCF!D14:H14)+DCF!H14*(1+D$15)/($B16-D$15)/(1+$B16)^5+DCF!$C$7)/DCF!$C$6</f>
        <v>-56.9233174894602</v>
      </c>
      <c r="E16" s="61" t="n">
        <f aca="false">(NPV($B16,DCF!D14:H14)+DCF!H14*(1+E$15)/($B16-E$15)/(1+$B16)^5+DCF!$C$7)/DCF!$C$6</f>
        <v>-53.1900935021788</v>
      </c>
      <c r="F16" s="61" t="n">
        <f aca="false">(NPV($B16,DCF!D14:H14)+DCF!H14*(1+F$15)/($B16-F$15)/(1+$B16)^5+DCF!$C$7)/DCF!$C$6</f>
        <v>-48.8241196865445</v>
      </c>
      <c r="G16" s="61" t="n">
        <f aca="false">(NPV($B16,DCF!D14:H14)+DCF!H14*(1+G$15)/($B16-G$15)/(1+$B16)^5+DCF!$C$7)/DCF!$C$6</f>
        <v>-43.6496322013484</v>
      </c>
    </row>
    <row r="17" customFormat="false" ht="15" hidden="false" customHeight="false" outlineLevel="0" collapsed="false">
      <c r="B17" s="63" t="n">
        <v>0.109</v>
      </c>
      <c r="C17" s="61" t="n">
        <f aca="false">(NPV($B17,DCF!D14:H14)+DCF!H14*(1+C$15)/($B17-C$15)/(1+$B17)^5+DCF!$C$7)/DCF!$C$6</f>
        <v>-65.1720417874398</v>
      </c>
      <c r="D17" s="61" t="n">
        <f aca="false">(NPV($B17,DCF!D14:H14)+DCF!H14*(1+D$15)/($B17-D$15)/(1+$B17)^5+DCF!$C$7)/DCF!$C$6</f>
        <v>-62.7761272639593</v>
      </c>
      <c r="E17" s="61" t="n">
        <f aca="false">(NPV($B17,DCF!D14:H14)+DCF!H14*(1+E$15)/($B17-E$15)/(1+$B17)^5+DCF!$C$7)/DCF!$C$6</f>
        <v>-60.0564405075761</v>
      </c>
      <c r="F17" s="61" t="n">
        <f aca="false">(NPV($B17,DCF!D14:H14)+DCF!H14*(1+F$15)/($B17-F$15)/(1+$B17)^5+DCF!$C$7)/DCF!$C$6</f>
        <v>-56.9425962502678</v>
      </c>
      <c r="G17" s="61" t="n">
        <f aca="false">(NPV($B17,DCF!D14:H14)+DCF!H14*(1+G$15)/($B17-G$15)/(1+$B17)^5+DCF!$C$7)/DCF!$C$6</f>
        <v>-53.342213827755</v>
      </c>
    </row>
    <row r="18" customFormat="false" ht="15" hidden="false" customHeight="false" outlineLevel="0" collapsed="false">
      <c r="B18" s="63" t="n">
        <v>0.114</v>
      </c>
      <c r="C18" s="61" t="n">
        <f aca="false">(NPV($B18,DCF!D14:H14)+DCF!H14*(1+C$15)/($B18-C$15)/(1+$B18)^5+DCF!$C$7)/DCF!$C$6</f>
        <v>-67.1126069196799</v>
      </c>
      <c r="D18" s="61" t="n">
        <f aca="false">(NPV($B18,DCF!D14:H14)+DCF!H14*(1+D$15)/($B18-D$15)/(1+$B18)^5+DCF!$C$7)/DCF!$C$6</f>
        <v>-65.0238215062891</v>
      </c>
      <c r="E18" s="61" t="n">
        <f aca="false">(NPV($B18,DCF!D14:H14)+DCF!H14*(1+E$15)/($B18-E$15)/(1+$B18)^5+DCF!$C$7)/DCF!$C$6</f>
        <v>-62.6706328760135</v>
      </c>
      <c r="F18" s="61" t="n">
        <f aca="false">(NPV($B18,DCF!D14:H14)+DCF!H14*(1+F$15)/($B18-F$15)/(1+$B18)^5+DCF!$C$7)/DCF!$C$6</f>
        <v>-59.999445782187</v>
      </c>
      <c r="G18" s="61" t="n">
        <f aca="false">(NPV($B18,DCF!D14:H14)+DCF!H14*(1+G$15)/($B18-G$15)/(1+$B18)^5+DCF!$C$7)/DCF!$C$6</f>
        <v>-56.9411301240379</v>
      </c>
    </row>
    <row r="19" customFormat="false" ht="15" hidden="false" customHeight="false" outlineLevel="0" collapsed="false">
      <c r="B19" s="63" t="n">
        <v>0.119</v>
      </c>
      <c r="C19" s="61" t="n">
        <f aca="false">(NPV($B19,DCF!D14:H14)+DCF!H14*(1+C$15)/($B19-C$15)/(1+$B19)^5+DCF!$C$7)/DCF!$C$6</f>
        <v>-68.7569677314223</v>
      </c>
      <c r="D19" s="61" t="n">
        <f aca="false">(NPV($B19,DCF!D14:H14)+DCF!H14*(1+D$15)/($B19-D$15)/(1+$B19)^5+DCF!$C$7)/DCF!$C$6</f>
        <v>-66.9235320643702</v>
      </c>
      <c r="E19" s="61" t="n">
        <f aca="false">(NPV($B19,DCF!D14:H14)+DCF!H14*(1+E$15)/($B19-E$15)/(1+$B19)^5+DCF!$C$7)/DCF!$C$6</f>
        <v>-64.8718302464787</v>
      </c>
      <c r="F19" s="61" t="n">
        <f aca="false">(NPV($B19,DCF!D14:H14)+DCF!H14*(1+F$15)/($B19-F$15)/(1+$B19)^5+DCF!$C$7)/DCF!$C$6</f>
        <v>-62.5604193377148</v>
      </c>
      <c r="G19" s="61" t="n">
        <f aca="false">(NPV($B19,DCF!D14:H14)+DCF!H14*(1+G$15)/($B19-G$15)/(1+$B19)^5+DCF!$C$7)/DCF!$C$6</f>
        <v>-59.9366556034422</v>
      </c>
    </row>
    <row r="20" customFormat="false" ht="15" hidden="false" customHeight="false" outlineLevel="0" collapsed="false">
      <c r="B20" s="63" t="n">
        <v>0.129</v>
      </c>
      <c r="C20" s="61" t="n">
        <f aca="false">(NPV($B20,DCF!D14:H14)+DCF!H14*(1+C$15)/($B20-C$15)/(1+$B20)^5+DCF!$C$7)/DCF!$C$6</f>
        <v>-71.3348522906778</v>
      </c>
      <c r="D20" s="61" t="n">
        <f aca="false">(NPV($B20,DCF!D14:H14)+DCF!H14*(1+D$15)/($B20-D$15)/(1+$B20)^5+DCF!$C$7)/DCF!$C$6</f>
        <v>-69.897181065476</v>
      </c>
      <c r="E20" s="61" t="n">
        <f aca="false">(NPV($B20,DCF!D14:H14)+DCF!H14*(1+E$15)/($B20-E$15)/(1+$B20)^5+DCF!$C$7)/DCF!$C$6</f>
        <v>-68.3065660929124</v>
      </c>
      <c r="F20" s="61" t="n">
        <f aca="false">(NPV($B20,DCF!D14:H14)+DCF!H14*(1+F$15)/($B20-F$15)/(1+$B20)^5+DCF!$C$7)/DCF!$C$6</f>
        <v>-66.5372303369147</v>
      </c>
      <c r="G20" s="61" t="n">
        <f aca="false">(NPV($B20,DCF!D14:H14)+DCF!H14*(1+G$15)/($B20-G$15)/(1+$B20)^5+DCF!$C$7)/DCF!$C$6</f>
        <v>-64.5572593718696</v>
      </c>
    </row>
    <row r="22" customFormat="false" ht="15" hidden="false" customHeight="false" outlineLevel="0" collapsed="false">
      <c r="A22" s="65" t="s">
        <v>195</v>
      </c>
    </row>
  </sheetData>
  <conditionalFormatting sqref="C6:G10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16:G20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0" min="2" style="0" width="12.5"/>
  </cols>
  <sheetData>
    <row r="1" customFormat="false" ht="17.35" hidden="false" customHeight="false" outlineLevel="0" collapsed="false">
      <c r="A1" s="41" t="s">
        <v>0</v>
      </c>
    </row>
    <row r="2" customFormat="false" ht="15" hidden="false" customHeight="false" outlineLevel="0" collapsed="false">
      <c r="A2" s="42" t="s">
        <v>196</v>
      </c>
    </row>
    <row r="4" customFormat="false" ht="15" hidden="false" customHeight="false" outlineLevel="0" collapsed="false">
      <c r="A4" s="43" t="s">
        <v>197</v>
      </c>
      <c r="B4" s="44"/>
      <c r="C4" s="44"/>
      <c r="D4" s="44"/>
      <c r="E4" s="44"/>
      <c r="F4" s="44"/>
      <c r="G4" s="44"/>
      <c r="H4" s="44"/>
      <c r="I4" s="44"/>
      <c r="J4" s="44"/>
    </row>
    <row r="5" customFormat="false" ht="23.85" hidden="false" customHeight="false" outlineLevel="0" collapsed="false">
      <c r="A5" s="67" t="s">
        <v>198</v>
      </c>
      <c r="B5" s="68" t="s">
        <v>199</v>
      </c>
      <c r="C5" s="68" t="s">
        <v>200</v>
      </c>
      <c r="D5" s="68" t="s">
        <v>201</v>
      </c>
      <c r="E5" s="68" t="s">
        <v>202</v>
      </c>
      <c r="F5" s="68" t="s">
        <v>203</v>
      </c>
      <c r="G5" s="68" t="s">
        <v>204</v>
      </c>
      <c r="H5" s="68" t="s">
        <v>205</v>
      </c>
      <c r="I5" s="68" t="s">
        <v>206</v>
      </c>
      <c r="J5" s="68" t="s">
        <v>207</v>
      </c>
    </row>
    <row r="6" customFormat="false" ht="15" hidden="false" customHeight="false" outlineLevel="0" collapsed="false">
      <c r="A6" s="69" t="s">
        <v>208</v>
      </c>
      <c r="B6" s="70" t="s">
        <v>209</v>
      </c>
      <c r="C6" s="71" t="n">
        <v>40</v>
      </c>
      <c r="D6" s="71" t="n">
        <v>72.9</v>
      </c>
      <c r="E6" s="71" t="n">
        <v>6.23</v>
      </c>
      <c r="F6" s="71" t="n">
        <v>12.6</v>
      </c>
      <c r="G6" s="71" t="n">
        <v>19</v>
      </c>
      <c r="H6" s="72" t="n">
        <f aca="false">D6/F6</f>
        <v>5.78571428571429</v>
      </c>
      <c r="I6" s="72" t="n">
        <f aca="false">D6/G6</f>
        <v>3.83684210526316</v>
      </c>
      <c r="J6" s="48" t="n">
        <v>1.12</v>
      </c>
    </row>
    <row r="7" customFormat="false" ht="15" hidden="false" customHeight="false" outlineLevel="0" collapsed="false">
      <c r="A7" s="69" t="s">
        <v>210</v>
      </c>
      <c r="B7" s="70" t="s">
        <v>211</v>
      </c>
      <c r="C7" s="71" t="n">
        <v>8</v>
      </c>
      <c r="D7" s="71" t="n">
        <v>8.5</v>
      </c>
      <c r="E7" s="71" t="n">
        <v>0.55</v>
      </c>
      <c r="F7" s="71" t="n">
        <v>1.2</v>
      </c>
      <c r="G7" s="71" t="n">
        <v>2.5</v>
      </c>
      <c r="H7" s="72" t="n">
        <f aca="false">D7/F7</f>
        <v>7.08333333333333</v>
      </c>
      <c r="I7" s="72" t="n">
        <f aca="false">D7/G7</f>
        <v>3.4</v>
      </c>
      <c r="J7" s="48" t="n">
        <v>1.5</v>
      </c>
    </row>
    <row r="8" customFormat="false" ht="15" hidden="false" customHeight="false" outlineLevel="0" collapsed="false">
      <c r="A8" s="69" t="s">
        <v>212</v>
      </c>
      <c r="B8" s="70" t="s">
        <v>213</v>
      </c>
      <c r="C8" s="71" t="n">
        <v>6</v>
      </c>
      <c r="D8" s="71" t="n">
        <v>7.5</v>
      </c>
      <c r="E8" s="71" t="n">
        <v>0.35</v>
      </c>
      <c r="F8" s="71" t="n">
        <v>0.7</v>
      </c>
      <c r="G8" s="71" t="n">
        <v>1.6</v>
      </c>
      <c r="H8" s="72" t="n">
        <f aca="false">D8/F8</f>
        <v>10.7142857142857</v>
      </c>
      <c r="I8" s="72" t="n">
        <f aca="false">D8/G8</f>
        <v>4.6875</v>
      </c>
      <c r="J8" s="48" t="n">
        <v>1.2</v>
      </c>
    </row>
    <row r="9" customFormat="false" ht="15" hidden="false" customHeight="false" outlineLevel="0" collapsed="false">
      <c r="A9" s="69" t="s">
        <v>214</v>
      </c>
      <c r="B9" s="70" t="s">
        <v>215</v>
      </c>
      <c r="C9" s="71" t="n">
        <v>5.5</v>
      </c>
      <c r="D9" s="71" t="n">
        <v>6.8</v>
      </c>
      <c r="E9" s="71" t="n">
        <v>0.55</v>
      </c>
      <c r="F9" s="71" t="n">
        <v>0.9</v>
      </c>
      <c r="G9" s="71" t="n">
        <v>1.6</v>
      </c>
      <c r="H9" s="72" t="n">
        <f aca="false">D9/F9</f>
        <v>7.55555555555556</v>
      </c>
      <c r="I9" s="72" t="n">
        <f aca="false">D9/G9</f>
        <v>4.25</v>
      </c>
      <c r="J9" s="48" t="n">
        <v>0.6</v>
      </c>
    </row>
    <row r="10" customFormat="false" ht="15" hidden="false" customHeight="false" outlineLevel="0" collapsed="false">
      <c r="A10" s="69" t="s">
        <v>216</v>
      </c>
      <c r="B10" s="70" t="s">
        <v>217</v>
      </c>
      <c r="C10" s="71" t="n">
        <v>4</v>
      </c>
      <c r="D10" s="71" t="n">
        <v>4.6</v>
      </c>
      <c r="E10" s="71" t="n">
        <v>0.16</v>
      </c>
      <c r="F10" s="71" t="n">
        <v>0.5</v>
      </c>
      <c r="G10" s="71" t="n">
        <v>1.1</v>
      </c>
      <c r="H10" s="72" t="n">
        <f aca="false">D10/F10</f>
        <v>9.2</v>
      </c>
      <c r="I10" s="72" t="n">
        <f aca="false">D10/G10</f>
        <v>4.18181818181818</v>
      </c>
      <c r="J10" s="48" t="n">
        <v>1</v>
      </c>
    </row>
    <row r="11" customFormat="false" ht="15" hidden="false" customHeight="false" outlineLevel="0" collapsed="false">
      <c r="A11" s="73" t="s">
        <v>218</v>
      </c>
      <c r="B11" s="74" t="s">
        <v>219</v>
      </c>
      <c r="C11" s="75" t="n">
        <v>58.75</v>
      </c>
      <c r="D11" s="75" t="n">
        <v>56.75</v>
      </c>
      <c r="E11" s="75" t="n">
        <v>0.87</v>
      </c>
      <c r="F11" s="76" t="n">
        <v>3.2</v>
      </c>
      <c r="G11" s="76" t="n">
        <v>7.5</v>
      </c>
      <c r="H11" s="77" t="n">
        <f aca="false">D11/F11</f>
        <v>17.734375</v>
      </c>
      <c r="I11" s="77" t="n">
        <f aca="false">D11/G11</f>
        <v>7.56666666666667</v>
      </c>
      <c r="J11" s="78" t="n">
        <v>6.84</v>
      </c>
    </row>
    <row r="13" customFormat="false" ht="15" hidden="false" customHeight="false" outlineLevel="0" collapsed="false">
      <c r="A13" s="43" t="s">
        <v>220</v>
      </c>
      <c r="B13" s="44"/>
      <c r="C13" s="44"/>
      <c r="D13" s="44"/>
      <c r="E13" s="44"/>
      <c r="F13" s="44"/>
      <c r="G13" s="44"/>
      <c r="H13" s="44"/>
      <c r="I13" s="44"/>
      <c r="J13" s="44"/>
    </row>
    <row r="14" customFormat="false" ht="15" hidden="false" customHeight="false" outlineLevel="0" collapsed="false">
      <c r="A14" s="12" t="s">
        <v>221</v>
      </c>
      <c r="I14" s="72" t="n">
        <f aca="false">MAX(I6:I10)</f>
        <v>4.6875</v>
      </c>
    </row>
    <row r="15" customFormat="false" ht="15" hidden="false" customHeight="false" outlineLevel="0" collapsed="false">
      <c r="A15" s="12" t="s">
        <v>222</v>
      </c>
      <c r="I15" s="72" t="n">
        <f aca="false">PERCENTILE(I6:I10,0.75)</f>
        <v>4.25</v>
      </c>
    </row>
    <row r="16" customFormat="false" ht="15" hidden="false" customHeight="false" outlineLevel="0" collapsed="false">
      <c r="A16" s="12" t="s">
        <v>223</v>
      </c>
      <c r="I16" s="79" t="n">
        <f aca="false">MEDIAN(I6:I10)</f>
        <v>4.18181818181818</v>
      </c>
    </row>
    <row r="17" customFormat="false" ht="15" hidden="false" customHeight="false" outlineLevel="0" collapsed="false">
      <c r="A17" s="12" t="s">
        <v>224</v>
      </c>
      <c r="I17" s="72" t="n">
        <f aca="false">PERCENTILE(I6:I10,0.25)</f>
        <v>3.83684210526316</v>
      </c>
    </row>
    <row r="18" customFormat="false" ht="15" hidden="false" customHeight="false" outlineLevel="0" collapsed="false">
      <c r="A18" s="12" t="s">
        <v>225</v>
      </c>
      <c r="I18" s="72" t="n">
        <f aca="false">MIN(I6:I10)</f>
        <v>3.4</v>
      </c>
    </row>
    <row r="20" customFormat="false" ht="15" hidden="false" customHeight="false" outlineLevel="0" collapsed="false">
      <c r="A20" s="43" t="s">
        <v>226</v>
      </c>
      <c r="B20" s="44"/>
      <c r="C20" s="44"/>
      <c r="D20" s="44"/>
      <c r="E20" s="44"/>
      <c r="F20" s="44"/>
      <c r="G20" s="44"/>
      <c r="H20" s="44"/>
      <c r="I20" s="44"/>
      <c r="J20" s="44"/>
    </row>
    <row r="21" customFormat="false" ht="15" hidden="false" customHeight="false" outlineLevel="0" collapsed="false">
      <c r="A21" s="12" t="s">
        <v>227</v>
      </c>
      <c r="C21" s="72" t="n">
        <f aca="false">I11</f>
        <v>7.56666666666667</v>
      </c>
    </row>
    <row r="22" customFormat="false" ht="15" hidden="false" customHeight="false" outlineLevel="0" collapsed="false">
      <c r="A22" s="12" t="s">
        <v>228</v>
      </c>
      <c r="C22" s="72" t="n">
        <f aca="false">I16</f>
        <v>4.18181818181818</v>
      </c>
    </row>
    <row r="23" customFormat="false" ht="15" hidden="false" customHeight="false" outlineLevel="0" collapsed="false">
      <c r="A23" s="12" t="s">
        <v>229</v>
      </c>
      <c r="C23" s="80" t="n">
        <v>1.9</v>
      </c>
    </row>
    <row r="24" customFormat="false" ht="15" hidden="false" customHeight="false" outlineLevel="0" collapsed="false">
      <c r="A24" s="8" t="s">
        <v>230</v>
      </c>
    </row>
    <row r="25" customFormat="false" ht="15" hidden="false" customHeight="false" outlineLevel="0" collapsed="false">
      <c r="A25" s="12" t="s">
        <v>231</v>
      </c>
      <c r="C25" s="49" t="n">
        <v>5.5</v>
      </c>
      <c r="D25" s="56" t="n">
        <f aca="false">C25*7.5*1000</f>
        <v>41250</v>
      </c>
      <c r="E25" s="61" t="n">
        <f aca="false">(D25+DCF!$C$7)/DCF!$C$6</f>
        <v>146.114864864865</v>
      </c>
    </row>
    <row r="26" customFormat="false" ht="15" hidden="false" customHeight="false" outlineLevel="0" collapsed="false">
      <c r="A26" s="12" t="s">
        <v>232</v>
      </c>
      <c r="C26" s="49" t="n">
        <v>7.25</v>
      </c>
      <c r="D26" s="56" t="n">
        <f aca="false">C26*7.5*1000</f>
        <v>54375</v>
      </c>
      <c r="E26" s="61" t="n">
        <f aca="false">(D26+DCF!$C$7)/DCF!$C$6</f>
        <v>190.456081081081</v>
      </c>
    </row>
    <row r="27" customFormat="false" ht="15" hidden="false" customHeight="false" outlineLevel="0" collapsed="false">
      <c r="A27" s="12" t="s">
        <v>233</v>
      </c>
      <c r="C27" s="49" t="n">
        <v>9</v>
      </c>
      <c r="D27" s="56" t="n">
        <f aca="false">C27*7.5*1000</f>
        <v>67500</v>
      </c>
      <c r="E27" s="61" t="n">
        <f aca="false">(D27+DCF!$C$7)/DCF!$C$6</f>
        <v>234.797297297297</v>
      </c>
    </row>
    <row r="29" customFormat="false" ht="42" hidden="false" customHeight="true" outlineLevel="0" collapsed="false">
      <c r="A29" s="81" t="s">
        <v>234</v>
      </c>
      <c r="B29" s="81"/>
      <c r="C29" s="81"/>
      <c r="D29" s="81"/>
      <c r="E29" s="81"/>
      <c r="F29" s="81"/>
      <c r="G29" s="81"/>
      <c r="H29" s="81"/>
      <c r="I29" s="81"/>
      <c r="J29" s="81"/>
    </row>
  </sheetData>
  <mergeCells count="1">
    <mergeCell ref="A29:J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20"/>
    <col collapsed="false" customWidth="true" hidden="false" outlineLevel="0" max="5" min="5" style="0" width="16"/>
    <col collapsed="false" customWidth="true" hidden="false" outlineLevel="0" max="6" min="6" style="0" width="40"/>
    <col collapsed="false" customWidth="true" hidden="false" outlineLevel="0" max="10" min="7" style="0" width="12.5"/>
  </cols>
  <sheetData>
    <row r="1" customFormat="false" ht="17.35" hidden="false" customHeight="false" outlineLevel="0" collapsed="false">
      <c r="A1" s="41" t="s">
        <v>0</v>
      </c>
    </row>
    <row r="2" customFormat="false" ht="15" hidden="false" customHeight="false" outlineLevel="0" collapsed="false">
      <c r="A2" s="42" t="s">
        <v>235</v>
      </c>
    </row>
    <row r="4" customFormat="false" ht="15" hidden="false" customHeight="false" outlineLevel="0" collapsed="false">
      <c r="A4" s="43" t="s">
        <v>236</v>
      </c>
      <c r="B4" s="44"/>
      <c r="C4" s="44"/>
      <c r="D4" s="44"/>
      <c r="E4" s="44"/>
      <c r="F4" s="44"/>
      <c r="G4" s="44"/>
    </row>
    <row r="5" customFormat="false" ht="15" hidden="false" customHeight="false" outlineLevel="0" collapsed="false">
      <c r="A5" s="51" t="s">
        <v>237</v>
      </c>
      <c r="B5" s="82" t="s">
        <v>238</v>
      </c>
      <c r="C5" s="82" t="s">
        <v>239</v>
      </c>
      <c r="D5" s="51" t="s">
        <v>240</v>
      </c>
      <c r="E5" s="51" t="s">
        <v>241</v>
      </c>
      <c r="F5" s="82" t="s">
        <v>242</v>
      </c>
    </row>
    <row r="6" customFormat="false" ht="15" hidden="false" customHeight="false" outlineLevel="0" collapsed="false">
      <c r="A6" s="70" t="s">
        <v>243</v>
      </c>
      <c r="B6" s="69" t="s">
        <v>244</v>
      </c>
      <c r="C6" s="69" t="s">
        <v>245</v>
      </c>
      <c r="D6" s="83" t="s">
        <v>246</v>
      </c>
      <c r="E6" s="70" t="s">
        <v>247</v>
      </c>
      <c r="F6" s="84" t="s">
        <v>248</v>
      </c>
    </row>
    <row r="7" customFormat="false" ht="15" hidden="false" customHeight="false" outlineLevel="0" collapsed="false">
      <c r="A7" s="70" t="s">
        <v>243</v>
      </c>
      <c r="B7" s="69" t="s">
        <v>249</v>
      </c>
      <c r="C7" s="69" t="s">
        <v>250</v>
      </c>
      <c r="D7" s="83" t="s">
        <v>251</v>
      </c>
      <c r="E7" s="70" t="s">
        <v>252</v>
      </c>
      <c r="F7" s="84" t="s">
        <v>253</v>
      </c>
    </row>
    <row r="8" customFormat="false" ht="15" hidden="false" customHeight="false" outlineLevel="0" collapsed="false">
      <c r="A8" s="70" t="s">
        <v>243</v>
      </c>
      <c r="B8" s="69" t="s">
        <v>254</v>
      </c>
      <c r="C8" s="69" t="s">
        <v>255</v>
      </c>
      <c r="D8" s="83" t="s">
        <v>256</v>
      </c>
      <c r="E8" s="70" t="s">
        <v>257</v>
      </c>
      <c r="F8" s="84" t="s">
        <v>258</v>
      </c>
    </row>
    <row r="9" customFormat="false" ht="15" hidden="false" customHeight="false" outlineLevel="0" collapsed="false">
      <c r="A9" s="70" t="s">
        <v>259</v>
      </c>
      <c r="B9" s="69" t="s">
        <v>260</v>
      </c>
      <c r="C9" s="69" t="s">
        <v>261</v>
      </c>
      <c r="D9" s="83" t="s">
        <v>262</v>
      </c>
      <c r="E9" s="70" t="s">
        <v>263</v>
      </c>
      <c r="F9" s="84" t="s">
        <v>264</v>
      </c>
    </row>
    <row r="10" customFormat="false" ht="15" hidden="false" customHeight="false" outlineLevel="0" collapsed="false">
      <c r="A10" s="70" t="s">
        <v>259</v>
      </c>
      <c r="B10" s="69" t="s">
        <v>265</v>
      </c>
      <c r="C10" s="69" t="s">
        <v>266</v>
      </c>
      <c r="D10" s="83" t="s">
        <v>267</v>
      </c>
      <c r="E10" s="70" t="s">
        <v>263</v>
      </c>
      <c r="F10" s="84" t="s">
        <v>264</v>
      </c>
    </row>
    <row r="12" customFormat="false" ht="90" hidden="false" customHeight="true" outlineLevel="0" collapsed="false">
      <c r="A12" s="34" t="s">
        <v>268</v>
      </c>
      <c r="B12" s="34"/>
      <c r="C12" s="34"/>
      <c r="D12" s="34"/>
      <c r="E12" s="34"/>
      <c r="F12" s="34"/>
    </row>
  </sheetData>
  <mergeCells count="1"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0" min="2" style="0" width="12.5"/>
  </cols>
  <sheetData>
    <row r="1" customFormat="false" ht="17.35" hidden="false" customHeight="false" outlineLevel="0" collapsed="false">
      <c r="A1" s="41" t="s">
        <v>0</v>
      </c>
    </row>
    <row r="2" customFormat="false" ht="15" hidden="false" customHeight="false" outlineLevel="0" collapsed="false">
      <c r="A2" s="42" t="s">
        <v>269</v>
      </c>
    </row>
    <row r="4" customFormat="false" ht="15" hidden="false" customHeight="false" outlineLevel="0" collapsed="false">
      <c r="A4" s="43" t="s">
        <v>270</v>
      </c>
      <c r="B4" s="44"/>
      <c r="C4" s="44"/>
      <c r="D4" s="44"/>
      <c r="E4" s="44"/>
      <c r="F4" s="44"/>
      <c r="G4" s="44"/>
    </row>
    <row r="5" customFormat="false" ht="15" hidden="false" customHeight="false" outlineLevel="0" collapsed="false">
      <c r="A5" s="82" t="s">
        <v>271</v>
      </c>
      <c r="B5" s="51" t="s">
        <v>272</v>
      </c>
      <c r="C5" s="51" t="s">
        <v>147</v>
      </c>
      <c r="D5" s="51" t="s">
        <v>273</v>
      </c>
      <c r="E5" s="51" t="s">
        <v>274</v>
      </c>
      <c r="F5" s="51" t="s">
        <v>275</v>
      </c>
    </row>
    <row r="6" customFormat="false" ht="15" hidden="false" customHeight="false" outlineLevel="0" collapsed="false">
      <c r="A6" s="12" t="s">
        <v>276</v>
      </c>
      <c r="B6" s="61" t="n">
        <f aca="false">(NPV(0.129,DCF!D14:H14)+DCF!$C$21*12/(1.129)^5+DCF!$C$7)/DCF!$C$6</f>
        <v>134.886169257107</v>
      </c>
      <c r="C6" s="85" t="n">
        <f aca="false">DCF!C28</f>
        <v>210.742995094024</v>
      </c>
      <c r="D6" s="61" t="n">
        <f aca="false">(NPV(0.099,DCF!D14:H14)+DCF!$C$21*18/(1.099)^5+DCF!$C$7)/DCF!$C$6</f>
        <v>296.565284459746</v>
      </c>
      <c r="E6" s="48" t="n">
        <v>0.6</v>
      </c>
      <c r="F6" s="61" t="n">
        <f aca="false">C6*E6</f>
        <v>126.445797056414</v>
      </c>
    </row>
    <row r="7" customFormat="false" ht="15" hidden="false" customHeight="false" outlineLevel="0" collapsed="false">
      <c r="A7" s="12" t="s">
        <v>277</v>
      </c>
      <c r="B7" s="85" t="n">
        <f aca="false">Comps!E25</f>
        <v>146.114864864865</v>
      </c>
      <c r="C7" s="85" t="n">
        <f aca="false">Comps!E26</f>
        <v>190.456081081081</v>
      </c>
      <c r="D7" s="85" t="n">
        <f aca="false">Comps!E27</f>
        <v>234.797297297297</v>
      </c>
      <c r="E7" s="48" t="n">
        <v>0.4</v>
      </c>
      <c r="F7" s="61" t="n">
        <f aca="false">C7*E7</f>
        <v>76.1824324324324</v>
      </c>
    </row>
    <row r="8" customFormat="false" ht="15" hidden="false" customHeight="false" outlineLevel="0" collapsed="false">
      <c r="A8" s="12" t="s">
        <v>278</v>
      </c>
      <c r="B8" s="86" t="s">
        <v>279</v>
      </c>
      <c r="C8" s="86" t="s">
        <v>279</v>
      </c>
      <c r="D8" s="86" t="s">
        <v>279</v>
      </c>
      <c r="E8" s="48" t="n">
        <v>0</v>
      </c>
      <c r="F8" s="86" t="s">
        <v>280</v>
      </c>
    </row>
    <row r="9" customFormat="false" ht="15" hidden="false" customHeight="false" outlineLevel="0" collapsed="false">
      <c r="A9" s="8" t="s">
        <v>281</v>
      </c>
      <c r="E9" s="60" t="n">
        <f aca="false">E6+E7</f>
        <v>1</v>
      </c>
      <c r="F9" s="87" t="n">
        <f aca="false">F6+F7</f>
        <v>202.628229488847</v>
      </c>
    </row>
    <row r="11" customFormat="false" ht="15" hidden="false" customHeight="false" outlineLevel="0" collapsed="false">
      <c r="A11" s="43" t="s">
        <v>282</v>
      </c>
      <c r="B11" s="44"/>
      <c r="C11" s="44"/>
      <c r="D11" s="44"/>
      <c r="E11" s="44"/>
      <c r="F11" s="44"/>
      <c r="G11" s="44"/>
    </row>
    <row r="12" customFormat="false" ht="15" hidden="false" customHeight="false" outlineLevel="0" collapsed="false">
      <c r="A12" s="12" t="s">
        <v>283</v>
      </c>
      <c r="C12" s="85" t="n">
        <f aca="false">DCF!C5</f>
        <v>198.25</v>
      </c>
    </row>
    <row r="13" customFormat="false" ht="15" hidden="false" customHeight="false" outlineLevel="0" collapsed="false">
      <c r="A13" s="8" t="s">
        <v>284</v>
      </c>
      <c r="C13" s="88" t="n">
        <f aca="false">F9</f>
        <v>202.628229488847</v>
      </c>
    </row>
    <row r="14" customFormat="false" ht="15" hidden="false" customHeight="false" outlineLevel="0" collapsed="false">
      <c r="A14" s="8" t="s">
        <v>285</v>
      </c>
      <c r="C14" s="60" t="n">
        <f aca="false">C13/DCF!C5-1</f>
        <v>0.0220843858201598</v>
      </c>
    </row>
    <row r="15" customFormat="false" ht="15" hidden="false" customHeight="false" outlineLevel="0" collapsed="false">
      <c r="A15" s="8" t="s">
        <v>286</v>
      </c>
      <c r="C15" s="89" t="s">
        <v>287</v>
      </c>
    </row>
    <row r="17" customFormat="false" ht="15" hidden="false" customHeight="false" outlineLevel="0" collapsed="false">
      <c r="A17" s="43" t="s">
        <v>288</v>
      </c>
      <c r="B17" s="44"/>
      <c r="C17" s="44"/>
      <c r="D17" s="44"/>
      <c r="E17" s="44"/>
      <c r="F17" s="44"/>
      <c r="G17" s="44"/>
    </row>
    <row r="18" customFormat="false" ht="15" hidden="false" customHeight="false" outlineLevel="0" collapsed="false">
      <c r="A18" s="12" t="s">
        <v>276</v>
      </c>
      <c r="B18" s="90" t="n">
        <f aca="false">B6</f>
        <v>134.886169257107</v>
      </c>
      <c r="C18" s="91" t="s">
        <v>289</v>
      </c>
      <c r="D18" s="90" t="n">
        <f aca="false">D6</f>
        <v>296.565284459746</v>
      </c>
    </row>
    <row r="19" customFormat="false" ht="15" hidden="false" customHeight="false" outlineLevel="0" collapsed="false">
      <c r="A19" s="12" t="s">
        <v>290</v>
      </c>
      <c r="B19" s="90" t="n">
        <f aca="false">B7</f>
        <v>146.114864864865</v>
      </c>
      <c r="C19" s="92" t="s">
        <v>289</v>
      </c>
      <c r="D19" s="90" t="n">
        <f aca="false">D7</f>
        <v>234.797297297297</v>
      </c>
    </row>
    <row r="20" customFormat="false" ht="15" hidden="false" customHeight="false" outlineLevel="0" collapsed="false">
      <c r="A20" s="8" t="s">
        <v>283</v>
      </c>
      <c r="C20" s="93" t="n">
        <f aca="false">DCF!C5</f>
        <v>198.25</v>
      </c>
    </row>
    <row r="21" customFormat="false" ht="15" hidden="false" customHeight="false" outlineLevel="0" collapsed="false">
      <c r="A21" s="8" t="s">
        <v>291</v>
      </c>
      <c r="C21" s="94" t="n">
        <f aca="false">F9</f>
        <v>202.628229488847</v>
      </c>
    </row>
    <row r="23" customFormat="false" ht="79.5" hidden="false" customHeight="true" outlineLevel="0" collapsed="false">
      <c r="A23" s="34" t="s">
        <v>292</v>
      </c>
      <c r="B23" s="34"/>
      <c r="C23" s="34"/>
      <c r="D23" s="34"/>
      <c r="E23" s="34"/>
      <c r="F23" s="34"/>
    </row>
  </sheetData>
  <mergeCells count="1">
    <mergeCell ref="A23:F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5.75" hidden="false" customHeight="true" outlineLevel="0" collapsed="false">
      <c r="A1" s="95" t="s">
        <v>293</v>
      </c>
    </row>
    <row r="2" customFormat="false" ht="13.5" hidden="false" customHeight="true" outlineLevel="0" collapsed="false">
      <c r="A2" s="96"/>
    </row>
    <row r="3" customFormat="false" ht="30" hidden="false" customHeight="true" outlineLevel="0" collapsed="false">
      <c r="A3" s="97" t="s">
        <v>294</v>
      </c>
    </row>
    <row r="4" customFormat="false" ht="13.5" hidden="false" customHeight="true" outlineLevel="0" collapsed="false">
      <c r="A4" s="96"/>
    </row>
    <row r="5" customFormat="false" ht="30" hidden="false" customHeight="true" outlineLevel="0" collapsed="false">
      <c r="A5" s="97" t="s">
        <v>295</v>
      </c>
    </row>
    <row r="6" customFormat="false" ht="13.5" hidden="false" customHeight="true" outlineLevel="0" collapsed="false">
      <c r="A6" s="96"/>
    </row>
    <row r="7" customFormat="false" ht="30" hidden="false" customHeight="true" outlineLevel="0" collapsed="false">
      <c r="A7" s="97" t="s">
        <v>296</v>
      </c>
    </row>
    <row r="8" customFormat="false" ht="30" hidden="false" customHeight="true" outlineLevel="0" collapsed="false">
      <c r="A8" s="96" t="s">
        <v>297</v>
      </c>
    </row>
    <row r="9" customFormat="false" ht="30" hidden="false" customHeight="true" outlineLevel="0" collapsed="false">
      <c r="A9" s="96" t="s">
        <v>298</v>
      </c>
    </row>
    <row r="10" customFormat="false" ht="30" hidden="false" customHeight="true" outlineLevel="0" collapsed="false">
      <c r="A10" s="96" t="s">
        <v>299</v>
      </c>
    </row>
    <row r="11" customFormat="false" ht="30" hidden="false" customHeight="true" outlineLevel="0" collapsed="false">
      <c r="A11" s="96" t="s">
        <v>300</v>
      </c>
    </row>
    <row r="12" customFormat="false" ht="30" hidden="false" customHeight="true" outlineLevel="0" collapsed="false">
      <c r="A12" s="96" t="s">
        <v>301</v>
      </c>
    </row>
    <row r="13" customFormat="false" ht="13.5" hidden="false" customHeight="true" outlineLevel="0" collapsed="false">
      <c r="A13" s="96"/>
    </row>
    <row r="14" customFormat="false" ht="30" hidden="false" customHeight="true" outlineLevel="0" collapsed="false">
      <c r="A14" s="97" t="s">
        <v>302</v>
      </c>
    </row>
    <row r="15" customFormat="false" ht="30" hidden="false" customHeight="true" outlineLevel="0" collapsed="false">
      <c r="A15" s="96" t="s">
        <v>303</v>
      </c>
    </row>
    <row r="16" customFormat="false" ht="30" hidden="false" customHeight="true" outlineLevel="0" collapsed="false">
      <c r="A16" s="96" t="s">
        <v>304</v>
      </c>
    </row>
    <row r="17" customFormat="false" ht="30" hidden="false" customHeight="true" outlineLevel="0" collapsed="false">
      <c r="A17" s="96" t="s">
        <v>305</v>
      </c>
    </row>
    <row r="18" customFormat="false" ht="30" hidden="false" customHeight="true" outlineLevel="0" collapsed="false">
      <c r="A18" s="96" t="s">
        <v>306</v>
      </c>
    </row>
    <row r="19" customFormat="false" ht="30" hidden="false" customHeight="true" outlineLevel="0" collapsed="false">
      <c r="A19" s="96" t="s">
        <v>307</v>
      </c>
    </row>
    <row r="20" customFormat="false" ht="30" hidden="false" customHeight="true" outlineLevel="0" collapsed="false">
      <c r="A20" s="96" t="s">
        <v>308</v>
      </c>
    </row>
    <row r="21" customFormat="false" ht="13.5" hidden="false" customHeight="true" outlineLevel="0" collapsed="false">
      <c r="A21" s="96"/>
    </row>
    <row r="22" customFormat="false" ht="30" hidden="false" customHeight="true" outlineLevel="0" collapsed="false">
      <c r="A22" s="97" t="s">
        <v>309</v>
      </c>
    </row>
    <row r="23" customFormat="false" ht="13.5" hidden="false" customHeight="true" outlineLevel="0" collapsed="false">
      <c r="A23" s="96"/>
    </row>
    <row r="24" customFormat="false" ht="30" hidden="false" customHeight="true" outlineLevel="0" collapsed="false">
      <c r="A24" s="97" t="s">
        <v>310</v>
      </c>
    </row>
    <row r="25" customFormat="false" ht="13.5" hidden="false" customHeight="true" outlineLevel="0" collapsed="false">
      <c r="A25" s="96"/>
    </row>
    <row r="26" customFormat="false" ht="30" hidden="false" customHeight="true" outlineLevel="0" collapsed="false">
      <c r="A26" s="97" t="s">
        <v>311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2026-07-27T19:21:48Z</dcterms:created>
  <dc:creator>openpyxl</dc:creator>
  <dc:description/>
  <dc:language>en-US</dc:language>
  <cp:lastModifiedBy/>
  <dcterms:modified xsi:type="dcterms:W3CDTF">2026-07-27T19:34:15Z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